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q/1Lfpnjp5ihkIrOGrMi2uIIqSzvk0Zm1vxBCwdrzFOuixNIZm1unr0/CJACw/YIyhBJ5cL67AoUYB4x91OoeQ==" workbookSaltValue="OdsK5l/288ylis7NRXKVM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G21" i="11"/>
  <c r="BU25" i="17"/>
  <c r="BV28" i="16"/>
  <c r="BV13" i="16"/>
  <c r="BW18" i="20"/>
  <c r="BU10" i="17"/>
  <c r="BV12" i="16"/>
  <c r="BW25" i="20"/>
  <c r="BW12"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BG16"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E23" i="12"/>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W9" i="20"/>
  <c r="BU11" i="17"/>
  <c r="BU28" i="17"/>
  <c r="BJ28" i="11"/>
  <c r="AZ9" i="11"/>
  <c r="AZ14" i="11" s="1"/>
  <c r="AZ13" i="11"/>
  <c r="BI19" i="11"/>
  <c r="BI25" i="11"/>
  <c r="BG22" i="11"/>
  <c r="Q18" i="20"/>
  <c r="Q23" i="20" s="1"/>
  <c r="V16" i="11"/>
  <c r="AY14" i="8"/>
  <c r="Z14" i="17"/>
  <c r="BD12" i="8"/>
  <c r="X20" i="16"/>
  <c r="BV18" i="16"/>
  <c r="BW19" i="20"/>
  <c r="BV19" i="16"/>
  <c r="BU16" i="17"/>
  <c r="BW20" i="20"/>
  <c r="AZ16" i="11"/>
  <c r="AZ23" i="11" s="1"/>
  <c r="AZ26" i="11" s="1"/>
  <c r="T16" i="16"/>
  <c r="AP18" i="20"/>
  <c r="AP26" i="21"/>
  <c r="BG19" i="11"/>
  <c r="V20" i="11"/>
  <c r="AP16" i="20"/>
  <c r="BJ16" i="11"/>
  <c r="V9" i="11"/>
  <c r="BM12" i="11"/>
  <c r="V11" i="11"/>
  <c r="BK29" i="11"/>
  <c r="BG20" i="11"/>
  <c r="BF28" i="11"/>
  <c r="BH16" i="16"/>
  <c r="BF13" i="11"/>
  <c r="BH9"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<sst xmlns="http://schemas.openxmlformats.org/spreadsheetml/2006/main" count="2682" uniqueCount="1193">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</sst>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r4iUxNzfq8o+0k9h9gko8LZlBQu6HIkdKS0n+//KRQIfSgUWh2mzpeaglH44OSv6HMARfPmbIGRizHGdYiPEw==" saltValue="yRkmHMd521bR9Mov6Cjq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5</v>
      </c>
      <c r="F10" s="240">
        <f>IF(ISNUMBER(Datos!K10),Datos!K10," - ")</f>
        <v>3</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2</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21.458549222797927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566</v>
      </c>
      <c r="D17" s="239">
        <f>IF(ISNUMBER(IF(D_I="SI",Datos!I17,Datos!I17+Datos!AC17)),IF(D_I="SI",Datos!I17,Datos!I17+Datos!AC17)," - ")</f>
        <v>562</v>
      </c>
      <c r="E17" s="240">
        <f>IF(ISNUMBER(IF(D_I="SI",Datos!J17,Datos!J17+Datos!AD17)),IF(D_I="SI",Datos!J17,Datos!J17+Datos!AD17)," - ")</f>
        <v>1364</v>
      </c>
      <c r="F17" s="240">
        <f>IF(ISNUMBER(IF(D_I="SI",Datos!K17,Datos!K17+Datos!AE17)),IF(D_I="SI",Datos!K17,Datos!K17+Datos!AE17)," - ")</f>
        <v>1386</v>
      </c>
      <c r="G17" s="1390" t="str">
        <f>IF(Datos!E17&lt;&gt;"",Datos!E17,Datos!D17)</f>
        <v>04</v>
      </c>
      <c r="H17" s="241">
        <f>IF(ISNUMBER(IF(D_I="SI",Datos!L17,Datos!L17+Datos!AF17)),IF(D_I="SI",Datos!L17,Datos!L17+Datos!AF17)," - ")</f>
        <v>544</v>
      </c>
      <c r="I17" s="1400" t="str">
        <f>IF(ISNUMBER(Datos!AS17/Datos!BM17),Datos!AS17/Datos!BM17," - ")</f>
        <v xml:space="preserve"> - </v>
      </c>
      <c r="J17" s="1401">
        <f>IF(ISNUMBER(Datos!BY17/Datos!CN17),Datos!BY17/Datos!CN17," - ")</f>
        <v>0</v>
      </c>
      <c r="K17" s="244">
        <f t="shared" si="3"/>
        <v>-3.8869257950530034E-2</v>
      </c>
      <c r="L17" s="1402">
        <f>IF(ISNUMBER(NºAsuntos!I17/NºAsuntos!G17),(NºAsuntos!I17/NºAsuntos!G17)*11," - ")</f>
        <v>4.3174603174603172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139</v>
      </c>
      <c r="F18" s="240">
        <f>IF(ISNUMBER(IF(D_I="SI",Datos!K18,Datos!K18+Datos!AE18)),IF(D_I="SI",Datos!K18,Datos!K18+Datos!AE18)," - ")</f>
        <v>135</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0.81481481481481477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572</v>
      </c>
      <c r="D23" s="1407">
        <f>SUBTOTAL(9,D16:D22)</f>
        <v>568</v>
      </c>
      <c r="E23" s="1408">
        <f>SUBTOTAL(9,E16:E22)</f>
        <v>1503</v>
      </c>
      <c r="F23" s="1408">
        <f>SUBTOTAL(9,F16:F22)</f>
        <v>1521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573</v>
      </c>
      <c r="D31" s="1435">
        <f>SUBTOTAL(9,D9:D30)</f>
        <v>569</v>
      </c>
      <c r="E31" s="1436">
        <f>SUBTOTAL(9,E9:E30)</f>
        <v>1508</v>
      </c>
      <c r="F31" s="1436">
        <f>SUBTOTAL(9,F9:F30)</f>
        <v>1524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8Hr+sCXBnyht+MDgosFr6A2fQpJC2/OwEZxZpei+clFPtGKv6h356SYFgO8x+KpilwJfzf4q0altsXA7SUm/Vg==" saltValue="mSxB4r2v5J510C0wFokFX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e5vfp7uvN21ARTt/Dj/OKzkSv+HNG5gtHvHTQYGP2Xcicv8rRJHC+m6hQsuJ5yepWUJo5nmNdAHIPnuNR7nTA==" saltValue="BJNWi1bnQglLFGG+Pgki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5</v>
      </c>
      <c r="K10" s="194">
        <v>3</v>
      </c>
      <c r="L10" s="194">
        <v>3</v>
      </c>
      <c r="M10" s="194">
        <v>2</v>
      </c>
      <c r="N10" s="194">
        <v>0</v>
      </c>
      <c r="O10" s="194">
        <v>0</v>
      </c>
      <c r="P10" s="194">
        <v>0</v>
      </c>
      <c r="Q10" s="194">
        <v>0</v>
      </c>
      <c r="R10" s="194">
        <v>0</v>
      </c>
      <c r="S10" s="194">
        <v>4</v>
      </c>
      <c r="T10" s="194">
        <v>11</v>
      </c>
      <c r="U10" s="194">
        <v>14</v>
      </c>
      <c r="V10" s="194">
        <v>1</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11</v>
      </c>
      <c r="BA10" s="139">
        <f t="shared" si="0"/>
        <v>14</v>
      </c>
      <c r="BB10" s="139">
        <f t="shared" si="0"/>
        <v>1</v>
      </c>
      <c r="BC10" s="135">
        <f t="shared" si="0"/>
        <v>12</v>
      </c>
      <c r="BD10" s="136">
        <f>IF(ISNUMBER(BA10/AZ10),BA10/AZ10," - ")</f>
        <v>1.2727272727272727</v>
      </c>
      <c r="BE10" s="137">
        <f>IF(ISNUMBER(BB10/BA10),BB10/BA10, " - ")</f>
        <v>7.1428571428571425E-2</v>
      </c>
      <c r="BF10" s="137">
        <f>IF(ISNUMBER(BC10/BA10),BC10/BA10, " - ")</f>
        <v>0.8571428571428571</v>
      </c>
      <c r="BG10" s="209">
        <f>IF(ISNUMBER((AY10+AZ10)/BA10),(AY10+AZ10)/BA10," - ")</f>
        <v>1.0714285714285714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995</v>
      </c>
      <c r="J12" s="196">
        <v>1160</v>
      </c>
      <c r="K12" s="196">
        <v>738</v>
      </c>
      <c r="L12" s="196">
        <v>1472</v>
      </c>
      <c r="M12" s="196">
        <v>184</v>
      </c>
      <c r="N12" s="196">
        <v>211</v>
      </c>
      <c r="O12" s="194">
        <v>247</v>
      </c>
      <c r="P12" s="196">
        <v>186</v>
      </c>
      <c r="Q12" s="196">
        <v>81</v>
      </c>
      <c r="R12" s="196">
        <v>1373</v>
      </c>
      <c r="S12" s="196">
        <v>925</v>
      </c>
      <c r="T12" s="196">
        <v>958</v>
      </c>
      <c r="U12" s="196">
        <v>846</v>
      </c>
      <c r="V12" s="196">
        <v>995</v>
      </c>
      <c r="W12" s="196">
        <v>239</v>
      </c>
      <c r="X12" s="202">
        <v>280</v>
      </c>
      <c r="Y12" s="204">
        <v>11</v>
      </c>
      <c r="Z12" s="194">
        <v>57</v>
      </c>
      <c r="AA12" s="194">
        <v>34</v>
      </c>
      <c r="AB12" s="194">
        <v>34</v>
      </c>
      <c r="AC12" s="196">
        <v>0</v>
      </c>
      <c r="AD12" s="196">
        <v>0</v>
      </c>
      <c r="AE12" s="196">
        <v>0</v>
      </c>
      <c r="AF12" s="202">
        <v>0</v>
      </c>
      <c r="AG12" s="215">
        <v>23</v>
      </c>
      <c r="AH12" s="196">
        <v>77</v>
      </c>
      <c r="AI12" s="196">
        <v>90</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948</v>
      </c>
      <c r="AZ12" s="137">
        <f t="shared" si="1"/>
        <v>1035</v>
      </c>
      <c r="BA12" s="137">
        <f t="shared" si="1"/>
        <v>936</v>
      </c>
      <c r="BB12" s="137">
        <f t="shared" si="1"/>
        <v>1006</v>
      </c>
      <c r="BC12" s="135">
        <f>IF(ISNUMBER(X12),X12," - ")</f>
        <v>280</v>
      </c>
      <c r="BD12" s="136">
        <f t="shared" si="2"/>
        <v>0.90434782608695652</v>
      </c>
      <c r="BE12" s="137">
        <f t="shared" si="3"/>
        <v>1.0747863247863247</v>
      </c>
      <c r="BF12" s="137">
        <f t="shared" si="4"/>
        <v>0.29914529914529914</v>
      </c>
      <c r="BG12" s="209">
        <f t="shared" si="5"/>
        <v>2.1185897435897436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996</v>
      </c>
      <c r="J14" s="197">
        <f t="shared" si="7"/>
        <v>1165</v>
      </c>
      <c r="K14" s="197">
        <f t="shared" si="7"/>
        <v>741</v>
      </c>
      <c r="L14" s="197">
        <f t="shared" si="7"/>
        <v>1475</v>
      </c>
      <c r="M14" s="197">
        <f t="shared" si="7"/>
        <v>186</v>
      </c>
      <c r="N14" s="197">
        <f t="shared" si="7"/>
        <v>211</v>
      </c>
      <c r="O14" s="197">
        <f t="shared" si="7"/>
        <v>247</v>
      </c>
      <c r="P14" s="197">
        <f t="shared" si="7"/>
        <v>186</v>
      </c>
      <c r="Q14" s="197">
        <f t="shared" si="7"/>
        <v>81</v>
      </c>
      <c r="R14" s="197">
        <f t="shared" si="7"/>
        <v>1373</v>
      </c>
      <c r="S14" s="197">
        <f t="shared" si="7"/>
        <v>929</v>
      </c>
      <c r="T14" s="197">
        <f t="shared" si="7"/>
        <v>969</v>
      </c>
      <c r="U14" s="197">
        <f t="shared" si="7"/>
        <v>860</v>
      </c>
      <c r="V14" s="197">
        <f t="shared" si="7"/>
        <v>996</v>
      </c>
      <c r="W14" s="197">
        <f t="shared" si="7"/>
        <v>251</v>
      </c>
      <c r="X14" s="197">
        <f t="shared" si="7"/>
        <v>280</v>
      </c>
      <c r="Y14" s="197">
        <f t="shared" si="7"/>
        <v>11</v>
      </c>
      <c r="Z14" s="197">
        <f t="shared" si="7"/>
        <v>57</v>
      </c>
      <c r="AA14" s="197">
        <f t="shared" si="7"/>
        <v>34</v>
      </c>
      <c r="AB14" s="197">
        <f t="shared" si="7"/>
        <v>34</v>
      </c>
      <c r="AC14" s="197">
        <f t="shared" si="7"/>
        <v>0</v>
      </c>
      <c r="AD14" s="197">
        <f t="shared" si="7"/>
        <v>0</v>
      </c>
      <c r="AE14" s="197">
        <f t="shared" si="7"/>
        <v>0</v>
      </c>
      <c r="AF14" s="197">
        <f>SUBTOTAL(9,AF9:AF13)</f>
        <v>0</v>
      </c>
      <c r="AG14" s="197">
        <f t="shared" ref="AG14:AT14" si="8">SUBTOTAL(9,AG8:AG13)</f>
        <v>23</v>
      </c>
      <c r="AH14" s="197">
        <f t="shared" si="8"/>
        <v>77</v>
      </c>
      <c r="AI14" s="197">
        <f t="shared" si="8"/>
        <v>90</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952</v>
      </c>
      <c r="AZ14" s="197">
        <f>SUBTOTAL(9,AZ8:AZ13)</f>
        <v>1046</v>
      </c>
      <c r="BA14" s="197">
        <f>SUBTOTAL(9,BA8:BA13)</f>
        <v>950</v>
      </c>
      <c r="BB14" s="197">
        <f>SUBTOTAL(9,BB8:BB13)</f>
        <v>1007</v>
      </c>
      <c r="BC14" s="197">
        <f>SUBTOTAL(9,BC8:BC13)</f>
        <v>292</v>
      </c>
      <c r="BD14" s="219">
        <f>IF(ISNUMBER(BA14/AZ14),BA14/AZ14," - ")</f>
        <v>0.90822179732313579</v>
      </c>
      <c r="BE14" s="220">
        <f>IF(ISNUMBER(BB14/BA14),BB14/BA14, " - ")</f>
        <v>1.06</v>
      </c>
      <c r="BF14" s="220">
        <f>IF(ISNUMBER(BC14/BA14),BC14/BA14, " - ")</f>
        <v>0.30736842105263157</v>
      </c>
      <c r="BG14" s="221">
        <f>IF(ISNUMBER((AY14+AZ14)/BA14),(AY14+AZ14)/BA14," - ")</f>
        <v>2.1031578947368419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562</v>
      </c>
      <c r="J17" s="196">
        <v>1364</v>
      </c>
      <c r="K17" s="196">
        <v>1386</v>
      </c>
      <c r="L17" s="196">
        <v>544</v>
      </c>
      <c r="M17" s="196">
        <v>196</v>
      </c>
      <c r="N17" s="196">
        <v>693</v>
      </c>
      <c r="O17" s="194">
        <v>0</v>
      </c>
      <c r="P17" s="196">
        <v>44</v>
      </c>
      <c r="Q17" s="196">
        <v>23</v>
      </c>
      <c r="R17" s="196">
        <v>80</v>
      </c>
      <c r="S17" s="196">
        <v>621</v>
      </c>
      <c r="T17" s="196">
        <v>1231</v>
      </c>
      <c r="U17" s="196">
        <v>1158</v>
      </c>
      <c r="V17" s="196">
        <v>562</v>
      </c>
      <c r="W17" s="196">
        <v>161</v>
      </c>
      <c r="X17" s="202">
        <v>692</v>
      </c>
      <c r="Y17" s="215">
        <v>0</v>
      </c>
      <c r="Z17" s="196">
        <v>0</v>
      </c>
      <c r="AA17" s="196">
        <v>0</v>
      </c>
      <c r="AB17" s="196">
        <v>0</v>
      </c>
      <c r="AC17" s="196">
        <v>0</v>
      </c>
      <c r="AD17" s="196">
        <v>11</v>
      </c>
      <c r="AE17" s="196">
        <v>11</v>
      </c>
      <c r="AF17" s="202">
        <v>0</v>
      </c>
      <c r="AG17" s="215">
        <v>0</v>
      </c>
      <c r="AH17" s="196">
        <v>0</v>
      </c>
      <c r="AI17" s="196">
        <v>0</v>
      </c>
      <c r="AJ17" s="216">
        <v>0</v>
      </c>
      <c r="AK17" s="195">
        <v>2</v>
      </c>
      <c r="AL17" s="196">
        <v>4</v>
      </c>
      <c r="AM17" s="196">
        <v>6</v>
      </c>
      <c r="AN17" s="202">
        <v>0</v>
      </c>
      <c r="AO17" s="283">
        <v>2</v>
      </c>
      <c r="AP17" s="168">
        <v>2</v>
      </c>
      <c r="AQ17" s="168">
        <v>2</v>
      </c>
      <c r="AR17" s="168">
        <v>2</v>
      </c>
      <c r="AS17" s="381" t="s">
        <v>650</v>
      </c>
      <c r="AT17" s="216"/>
      <c r="AU17" s="215"/>
      <c r="AV17" s="216"/>
      <c r="AW17" s="215"/>
      <c r="AX17" s="216"/>
      <c r="AY17" s="136">
        <f t="shared" si="10"/>
        <v>621</v>
      </c>
      <c r="AZ17" s="137">
        <f t="shared" si="10"/>
        <v>1231</v>
      </c>
      <c r="BA17" s="137">
        <f t="shared" si="10"/>
        <v>1158</v>
      </c>
      <c r="BB17" s="137">
        <f t="shared" si="10"/>
        <v>562</v>
      </c>
      <c r="BC17" s="135">
        <f>IF(ISNUMBER(W17),W17," - ")</f>
        <v>161</v>
      </c>
      <c r="BD17" s="136">
        <f t="shared" ref="BD17:BD22" si="12">IF(ISNUMBER(BA17/AZ17),BA17/AZ17," - ")</f>
        <v>0.94069861900893581</v>
      </c>
      <c r="BE17" s="137">
        <f t="shared" ref="BE17:BE22" si="13">IF(ISNUMBER(BB17/BA17),BB17/BA17, " - ")</f>
        <v>0.48531951640759929</v>
      </c>
      <c r="BF17" s="137">
        <f t="shared" ref="BF17:BF22" si="14">IF(ISNUMBER(BC17/BA17),BC17/BA17, " - ")</f>
        <v>0.13903281519861832</v>
      </c>
      <c r="BG17" s="209">
        <f t="shared" si="11"/>
        <v>1.5993091537132988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139</v>
      </c>
      <c r="K18" s="196">
        <v>135</v>
      </c>
      <c r="L18" s="196">
        <v>10</v>
      </c>
      <c r="M18" s="196">
        <v>19</v>
      </c>
      <c r="N18" s="196">
        <v>75</v>
      </c>
      <c r="O18" s="196">
        <v>0</v>
      </c>
      <c r="P18" s="196">
        <v>0</v>
      </c>
      <c r="Q18" s="196">
        <v>0</v>
      </c>
      <c r="R18" s="196">
        <v>0</v>
      </c>
      <c r="S18" s="196">
        <v>12</v>
      </c>
      <c r="T18" s="196">
        <v>114</v>
      </c>
      <c r="U18" s="196">
        <v>120</v>
      </c>
      <c r="V18" s="196">
        <v>6</v>
      </c>
      <c r="W18" s="196">
        <v>18</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114</v>
      </c>
      <c r="BA18" s="139">
        <f t="shared" si="15"/>
        <v>120</v>
      </c>
      <c r="BB18" s="139">
        <f t="shared" si="15"/>
        <v>6</v>
      </c>
      <c r="BC18" s="135">
        <f>IF(ISNUMBER(W18),W18," - ")</f>
        <v>18</v>
      </c>
      <c r="BD18" s="136">
        <f>IF(ISNUMBER(BA18/AZ18),BA18/AZ18," - ")</f>
        <v>1.0526315789473684</v>
      </c>
      <c r="BE18" s="137">
        <f>IF(ISNUMBER(BB18/BA18),BB18/BA18, " - ")</f>
        <v>0.05</v>
      </c>
      <c r="BF18" s="137">
        <f>IF(ISNUMBER(BC18/BA18),BC18/BA18, " - ")</f>
        <v>0.15</v>
      </c>
      <c r="BG18" s="209">
        <f>IF(ISNUMBER((AY18+AZ18)/BA18),(AY18+AZ18)/BA18," - ")</f>
        <v>1.05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568</v>
      </c>
      <c r="J23" s="197">
        <f t="shared" si="21"/>
        <v>1503</v>
      </c>
      <c r="K23" s="197">
        <f t="shared" si="21"/>
        <v>1521</v>
      </c>
      <c r="L23" s="197">
        <f t="shared" si="21"/>
        <v>554</v>
      </c>
      <c r="M23" s="197">
        <f t="shared" si="21"/>
        <v>215</v>
      </c>
      <c r="N23" s="197">
        <f t="shared" si="21"/>
        <v>768</v>
      </c>
      <c r="O23" s="197">
        <f t="shared" si="21"/>
        <v>0</v>
      </c>
      <c r="P23" s="197">
        <f t="shared" si="21"/>
        <v>44</v>
      </c>
      <c r="Q23" s="197">
        <f t="shared" si="21"/>
        <v>23</v>
      </c>
      <c r="R23" s="197">
        <f t="shared" si="21"/>
        <v>80</v>
      </c>
      <c r="S23" s="197">
        <f t="shared" si="21"/>
        <v>633</v>
      </c>
      <c r="T23" s="197">
        <f t="shared" si="21"/>
        <v>1345</v>
      </c>
      <c r="U23" s="197">
        <f t="shared" si="21"/>
        <v>1278</v>
      </c>
      <c r="V23" s="197">
        <f t="shared" si="21"/>
        <v>568</v>
      </c>
      <c r="W23" s="197">
        <f t="shared" si="21"/>
        <v>179</v>
      </c>
      <c r="X23" s="197">
        <f t="shared" si="21"/>
        <v>829</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2</v>
      </c>
      <c r="AL23" s="197">
        <f t="shared" si="21"/>
        <v>4</v>
      </c>
      <c r="AM23" s="197">
        <f t="shared" si="21"/>
        <v>6</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633</v>
      </c>
      <c r="AZ23" s="197">
        <f>SUBTOTAL(9,AZ15:AZ22)</f>
        <v>1345</v>
      </c>
      <c r="BA23" s="197">
        <f>SUBTOTAL(9,BA15:BA22)</f>
        <v>1278</v>
      </c>
      <c r="BB23" s="197">
        <f>SUBTOTAL(9,BB15:BB22)</f>
        <v>568</v>
      </c>
      <c r="BC23" s="197">
        <f>SUBTOTAL(9,BC15:BC22)</f>
        <v>179</v>
      </c>
      <c r="BD23" s="219">
        <f>IF(ISNUMBER(BA23/AZ23),BA23/AZ23," - ")</f>
        <v>0.95018587360594797</v>
      </c>
      <c r="BE23" s="220">
        <f>IF(ISNUMBER(BB23/BA23),BB23/BA23, " - ")</f>
        <v>0.44444444444444442</v>
      </c>
      <c r="BF23" s="220">
        <f>IF(ISNUMBER(BC23/BA23),BC23/BA23, " - ")</f>
        <v>0.14006259780907668</v>
      </c>
      <c r="BG23" s="221">
        <f>IF(ISNUMBER((AY23+AZ23)/BA23),(AY23+AZ23)/BA23," - ")</f>
        <v>1.5477308294209702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1564</v>
      </c>
      <c r="J31" s="144">
        <f t="shared" si="36"/>
        <v>2668</v>
      </c>
      <c r="K31" s="144">
        <f t="shared" si="36"/>
        <v>2262</v>
      </c>
      <c r="L31" s="144">
        <f t="shared" si="36"/>
        <v>2029</v>
      </c>
      <c r="M31" s="144">
        <f t="shared" si="36"/>
        <v>401</v>
      </c>
      <c r="N31" s="144">
        <f t="shared" si="36"/>
        <v>979</v>
      </c>
      <c r="O31" s="144">
        <f t="shared" si="36"/>
        <v>247</v>
      </c>
      <c r="P31" s="144">
        <f t="shared" si="36"/>
        <v>230</v>
      </c>
      <c r="Q31" s="144">
        <f t="shared" si="36"/>
        <v>104</v>
      </c>
      <c r="R31" s="144">
        <f t="shared" si="36"/>
        <v>1453</v>
      </c>
      <c r="S31" s="144">
        <f t="shared" si="36"/>
        <v>1562</v>
      </c>
      <c r="T31" s="144">
        <f t="shared" si="36"/>
        <v>2314</v>
      </c>
      <c r="U31" s="144">
        <f t="shared" si="36"/>
        <v>2138</v>
      </c>
      <c r="V31" s="144">
        <f t="shared" si="36"/>
        <v>1564</v>
      </c>
      <c r="W31" s="144">
        <f t="shared" si="36"/>
        <v>430</v>
      </c>
      <c r="X31" s="144">
        <f t="shared" si="36"/>
        <v>1109</v>
      </c>
      <c r="Y31" s="144">
        <f t="shared" si="36"/>
        <v>11</v>
      </c>
      <c r="Z31" s="144">
        <f t="shared" si="36"/>
        <v>57</v>
      </c>
      <c r="AA31" s="144">
        <f t="shared" si="36"/>
        <v>34</v>
      </c>
      <c r="AB31" s="144">
        <f t="shared" si="36"/>
        <v>34</v>
      </c>
      <c r="AC31" s="144">
        <f t="shared" si="36"/>
        <v>0</v>
      </c>
      <c r="AD31" s="144">
        <f t="shared" si="36"/>
        <v>11</v>
      </c>
      <c r="AE31" s="144">
        <f t="shared" si="36"/>
        <v>11</v>
      </c>
      <c r="AF31" s="144">
        <f t="shared" si="36"/>
        <v>0</v>
      </c>
      <c r="AG31" s="144">
        <f t="shared" si="36"/>
        <v>23</v>
      </c>
      <c r="AH31" s="144">
        <f t="shared" si="36"/>
        <v>77</v>
      </c>
      <c r="AI31" s="144">
        <f t="shared" si="36"/>
        <v>90</v>
      </c>
      <c r="AJ31" s="144">
        <f t="shared" si="36"/>
        <v>11</v>
      </c>
      <c r="AK31" s="144">
        <f t="shared" si="36"/>
        <v>2</v>
      </c>
      <c r="AL31" s="144">
        <f t="shared" si="36"/>
        <v>4</v>
      </c>
      <c r="AM31" s="144">
        <f t="shared" si="36"/>
        <v>6</v>
      </c>
      <c r="AN31" s="224">
        <f t="shared" si="36"/>
        <v>0</v>
      </c>
      <c r="AO31" s="225">
        <v>3</v>
      </c>
      <c r="AP31" s="225">
        <v>2</v>
      </c>
      <c r="AQ31" s="225">
        <v>2</v>
      </c>
      <c r="AR31" s="225">
        <v>2</v>
      </c>
      <c r="AS31" s="166">
        <f t="shared" si="36"/>
        <v>0</v>
      </c>
      <c r="AT31" s="166">
        <f t="shared" si="36"/>
        <v>0</v>
      </c>
      <c r="AU31" s="225"/>
      <c r="AV31" s="226"/>
      <c r="AW31" s="225"/>
      <c r="AX31" s="226"/>
      <c r="AY31" s="143">
        <f>SUBTOTAL(9,AY9:AY30)</f>
        <v>1585</v>
      </c>
      <c r="AZ31" s="144">
        <f>SUBTOTAL(9,AZ9:AZ30)</f>
        <v>2391</v>
      </c>
      <c r="BA31" s="144">
        <f>SUBTOTAL(9,BA9:BA30)</f>
        <v>2228</v>
      </c>
      <c r="BB31" s="144">
        <f>SUBTOTAL(9,BB9:BB30)</f>
        <v>1575</v>
      </c>
      <c r="BC31" s="145">
        <f>SUBTOTAL(9,BC9:BC30)</f>
        <v>471</v>
      </c>
      <c r="BD31" s="227">
        <f>IF(ISNUMBER(BA31/AZ31),BA31/AZ31," - ")</f>
        <v>0.93182768716018405</v>
      </c>
      <c r="BE31" s="224">
        <f>IF(ISNUMBER(BB31/BA31),BB31/BA31, " - ")</f>
        <v>0.70691202872531422</v>
      </c>
      <c r="BF31" s="224">
        <f>IF(ISNUMBER(BC31/BA31),BC31/BA31, " - ")</f>
        <v>0.21140035906642729</v>
      </c>
      <c r="BG31" s="145">
        <f>IF(ISNUMBER((AY31+AZ31)/BA31),(AY31+AZ31)/BA31," - ")</f>
        <v>1.784560143626571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239lZe9UCaE2mznm78zqvl4LyOzNW/ywf1ZVNg4HJ8e3zAAhC6NIEycAsdvYxivTQgIfKWUzX2ZowhrF6jR7Q==" saltValue="pS/zhbKhwRGIuaktoALf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IHuewQZSgvtdlTFQNblCmT+phA84KZzf+zlkCzFLFtxzfzh7/KpvP8hXx3tFyqTutaqyM0EqeBwvATJ4syqcA==" saltValue="63RW8vP7mvths1uHk3L3b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QUINTANAR DE LA ORDEN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186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1373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184</v>
      </c>
      <c r="BD12" s="693">
        <f>IF(ISNUMBER(Datos!N12),Datos!N12," - ")</f>
        <v>211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0.63434675431388665</v>
      </c>
      <c r="BH12" s="764">
        <f>IF(ISNUMBER(((IF(J_V="SI",Datos!L12/Datos!K12,(Datos!L12+Datos!AB12)/(Datos!K12+Datos!AA12)))*11)/factor_trimestre),((IF(J_V="SI",Datos!L12/Datos!K12,(Datos!L12+Datos!AB12)/(Datos!K12+Datos!AA12)))*11)/factor_trimestre," - ")</f>
        <v>21.458549222797927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8.280757097791798E-2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186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81</v>
      </c>
      <c r="AD14" s="1198">
        <f t="shared" si="2"/>
        <v>0</v>
      </c>
      <c r="AE14" s="1198">
        <f t="shared" si="2"/>
        <v>0</v>
      </c>
      <c r="AF14" s="1198">
        <f t="shared" si="2"/>
        <v>3</v>
      </c>
      <c r="AG14" s="1198">
        <f t="shared" si="2"/>
        <v>0</v>
      </c>
      <c r="AH14" s="1198">
        <f t="shared" si="2"/>
        <v>34</v>
      </c>
      <c r="AI14" s="1198">
        <f t="shared" si="2"/>
        <v>0</v>
      </c>
      <c r="AJ14" s="1198">
        <f t="shared" si="2"/>
        <v>0</v>
      </c>
      <c r="AK14" s="1198">
        <f t="shared" si="2"/>
        <v>0</v>
      </c>
      <c r="AL14" s="1198">
        <f t="shared" si="2"/>
        <v>0</v>
      </c>
      <c r="AM14" s="1198">
        <f t="shared" si="2"/>
        <v>1373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186</v>
      </c>
      <c r="BD14" s="1198">
        <f t="shared" si="2"/>
        <v>211</v>
      </c>
      <c r="BE14" s="1198">
        <f t="shared" si="2"/>
        <v>0</v>
      </c>
      <c r="BF14" s="1198">
        <f t="shared" si="2"/>
        <v>0</v>
      </c>
      <c r="BG14" s="1198">
        <f>IF(ISNUMBER(Datos!K14/Datos!J14),Datos!K14/Datos!J14," - ")</f>
        <v>0.63605150214592276</v>
      </c>
      <c r="BH14" s="1202">
        <f>IF(ISNUMBER(((Datos!L14/Datos!K14)*11)/factor_trimestre),((Datos!L14/Datos!K14)*11)/factor_trimestre," - ")</f>
        <v>21.896086369770579</v>
      </c>
      <c r="BI14" s="1198">
        <f>IF(ISNUMBER('Resol  Asuntos'!D14/NºAsuntos!G14),'Resol  Asuntos'!D14/NºAsuntos!G14," - ")</f>
        <v>0.24</v>
      </c>
      <c r="BJ14" s="1198" t="str">
        <f>IF(ISNUMBER(Datos!CI14/Datos!CJ14),Datos!CI14/Datos!CJ14," - ")</f>
        <v xml:space="preserve"> - </v>
      </c>
      <c r="BK14" s="1198">
        <f>SUBTOTAL(9,BK8:BK13)</f>
        <v>0</v>
      </c>
      <c r="BL14" s="1198">
        <f>IF(ISNUMBER((I14-AB14+L14)/(F14)),(I14-AB14+L14)/(F14)," - ")</f>
        <v>-3</v>
      </c>
      <c r="BM14" s="1203">
        <f>SUBTOTAL(9,BM9:BM13)</f>
        <v>8.280757097791798E-2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566</v>
      </c>
      <c r="G17" s="743">
        <f>IF(ISNUMBER(IF(D_I="SI",Datos!I17,Datos!I17+Datos!AC17)),IF(D_I="SI",Datos!I17,Datos!I17+Datos!AC17)," - ")</f>
        <v>562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1386</v>
      </c>
      <c r="AC17" s="240">
        <f>IF(ISNUMBER(Datos!Q17),Datos!Q17," - ")</f>
        <v>23</v>
      </c>
      <c r="AD17" s="374"/>
      <c r="AE17" s="562"/>
      <c r="AF17" s="741">
        <f>IF(ISNUMBER(IF(D_I="SI",Datos!L17,Datos!L17+Datos!AF17)),IF(D_I="SI",Datos!L17,Datos!L17+Datos!AF17)," - ")</f>
        <v>544</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196</v>
      </c>
      <c r="BD17" s="243">
        <f>IF(ISNUMBER(Datos!N17),Datos!N17," - ")</f>
        <v>693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1.0161290322580645</v>
      </c>
      <c r="BH17" s="764">
        <f>IF(ISNUMBER(((IF(D_I="SI",Datos!L17/Datos!K17,(Datos!L17+Datos!AF17)/(Datos!K17+Datos!AE17)))*11)/factor_trimestre),((IF(D_I="SI",Datos!L17/Datos!K17,(Datos!L17+Datos!AF17)/(Datos!K17+Datos!AE17)))*11)/factor_trimestre," - ")</f>
        <v>4.3174603174603172</v>
      </c>
      <c r="BI17" s="266">
        <f>IF(ISNUMBER('Resol  Asuntos'!D17/NºAsuntos!G17),'Resol  Asuntos'!D17/NºAsuntos!G17," - ")</f>
        <v>0.14141414141414141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135</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0.97122302158273377</v>
      </c>
      <c r="BH18" s="764">
        <f>IF(ISNUMBER(((IF(D_I="SI",Datos!L18/Datos!K18,(Datos!L18+Datos!AF18)/(Datos!K18+Datos!AE18)))*11)/factor_trimestre),((IF(D_I="SI",Datos!L18/Datos!K18,(Datos!L18+Datos!AF18)/(Datos!K18+Datos!AE18)))*11)/factor_trimestre," - ")</f>
        <v>0.81481481481481477</v>
      </c>
      <c r="BI18" s="763">
        <f>IF(ISNUMBER('Resol  Asuntos'!D18/NºAsuntos!G18),'Resol  Asuntos'!D18/NºAsuntos!G18," - ")</f>
        <v>0.14074074074074075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566</v>
      </c>
      <c r="G23" s="1197">
        <f>SUBTOTAL(9,G16:G22)</f>
        <v>568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1521</v>
      </c>
      <c r="AC23" s="1198">
        <f t="shared" si="5"/>
        <v>23</v>
      </c>
      <c r="AD23" s="1198">
        <f t="shared" si="5"/>
        <v>0</v>
      </c>
      <c r="AE23" s="1198">
        <f t="shared" si="5"/>
        <v>0</v>
      </c>
      <c r="AF23" s="1198">
        <f t="shared" si="5"/>
        <v>554</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215</v>
      </c>
      <c r="BD23" s="1198">
        <f t="shared" si="5"/>
        <v>768</v>
      </c>
      <c r="BE23" s="1198">
        <f t="shared" si="5"/>
        <v>0</v>
      </c>
      <c r="BF23" s="1198">
        <f t="shared" si="5"/>
        <v>0</v>
      </c>
      <c r="BG23" s="1198">
        <f>IF(ISNUMBER(Datos!K23/Datos!J23),Datos!K23/Datos!J23," - ")</f>
        <v>1.0119760479041917</v>
      </c>
      <c r="BH23" s="1202">
        <f>IF(ISNUMBER(((Datos!L23/Datos!K23)*11)/factor_trimestre),((Datos!L23/Datos!K23)*11)/factor_trimestre," - ")</f>
        <v>4.0065746219592375</v>
      </c>
      <c r="BI23" s="1198">
        <f>SUBTOTAL(9,BI16:BI22)</f>
        <v>0.28215488215488216</v>
      </c>
      <c r="BJ23" s="1198">
        <f>SUBTOTAL(9,BJ16:BJ22)</f>
        <v>0</v>
      </c>
      <c r="BK23" s="1198">
        <f>SUBTOTAL(9,BK16:BK22)</f>
        <v>0</v>
      </c>
      <c r="BL23" s="1198">
        <f>IF(ISNUMBER((I23-AB23+L23)/(F23)),(I23-AB23+L23)/(F23)," - ")</f>
        <v>-2.6872791519434629</v>
      </c>
      <c r="BM23" s="1205">
        <f>IF(ISNUMBER((Datos!P23-Datos!Q23)/(Datos!R23-Datos!P23+Datos!Q23)),(Datos!P23-Datos!Q23)/(Datos!R23-Datos!P23+Datos!Q23)," - ")</f>
        <v>0.3559322033898305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567</v>
      </c>
      <c r="G31" s="1117">
        <f t="shared" si="18"/>
        <v>569</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230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1524</v>
      </c>
      <c r="AC31" s="1118">
        <f t="shared" si="19"/>
        <v>104</v>
      </c>
      <c r="AD31" s="1118">
        <f t="shared" si="19"/>
        <v>0</v>
      </c>
      <c r="AE31" s="1118">
        <f t="shared" si="19"/>
        <v>0</v>
      </c>
      <c r="AF31" s="1125">
        <f t="shared" si="19"/>
        <v>557</v>
      </c>
      <c r="AG31" s="1125">
        <f t="shared" si="19"/>
        <v>0</v>
      </c>
      <c r="AH31" s="1125">
        <f t="shared" si="19"/>
        <v>34</v>
      </c>
      <c r="AI31" s="1125">
        <f t="shared" si="19"/>
        <v>0</v>
      </c>
      <c r="AJ31" s="1118">
        <f t="shared" si="19"/>
        <v>0</v>
      </c>
      <c r="AK31" s="1125">
        <f t="shared" si="19"/>
        <v>0</v>
      </c>
      <c r="AL31" s="1125">
        <f t="shared" si="19"/>
        <v>0</v>
      </c>
      <c r="AM31" s="1125">
        <f t="shared" si="19"/>
        <v>1453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401</v>
      </c>
      <c r="BD31" s="1117">
        <f t="shared" si="19"/>
        <v>979</v>
      </c>
      <c r="BE31" s="1117">
        <f t="shared" si="19"/>
        <v>0</v>
      </c>
      <c r="BF31" s="1127">
        <f t="shared" si="19"/>
        <v>0</v>
      </c>
      <c r="BG31" s="1223">
        <f>IF(ISNUMBER(Datos!K31/Datos!J31),Datos!K31/Datos!J31," - ")</f>
        <v>0.84782608695652173</v>
      </c>
      <c r="BH31" s="1223">
        <f>IF(ISNUMBER(((Datos!L31/Datos!K31)*11)/factor_trimestre),((Datos!L31/Datos!K31)*11)/factor_trimestre," - ")</f>
        <v>9.8669319186560571</v>
      </c>
      <c r="BI31" s="1103">
        <f>IF(ISNUMBER(Datos!J31/Datos!I31),Datos!J31/Datos!I31," - ")</f>
        <v>1.7058823529411764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-2.6878306878306879</v>
      </c>
      <c r="BM31" s="1188">
        <f>IF(ISNUMBER((Datos!P31-Datos!Q31+R31)/(Datos!R31-Datos!P31+Datos!Q31-R31)),(Datos!P31-Datos!Q31+R31)/(Datos!R31-Datos!P31+Datos!Q31-R31)," - ")</f>
        <v>9.4951017332328566E-2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292.02328674268426</v>
      </c>
      <c r="G33" s="674">
        <f>IF(ISNUMBER(STDEV(G8:G30)),STDEV(G8:G30),"-")</f>
        <v>274.92414538247766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698.27092572602919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102.16058787167248</v>
      </c>
      <c r="BD33" s="673"/>
      <c r="BE33" s="673">
        <f>IF(ISNUMBER(STDEV(BE8:BE30)),STDEV(BE8:BE30),"-")</f>
        <v>0</v>
      </c>
      <c r="BF33" s="678">
        <f>IF(ISNUMBER(STDEV(BF8:BF30)),STDEV(BF8:BF30),"-")</f>
        <v>0</v>
      </c>
      <c r="BG33" s="1052">
        <f>IF(ISNUMBER(STDEV(BG8:BG30)),STDEV(BG8:BG30),"-")</f>
        <v>0.20710999018557444</v>
      </c>
      <c r="BH33" s="1058">
        <f>IF(ISNUMBER(STDEV(BH8:BH30)),STDEV(BH8:BH30),"-")</f>
        <v>9.212612873543133</v>
      </c>
      <c r="BI33" s="273">
        <f>IF(ISNUMBER(STDEV(BI8:BI30)),STDEV(BI8:BI30),"-")</f>
        <v>7.1388009681784062E-2</v>
      </c>
      <c r="BJ33" s="244" t="str">
        <f>IF(ISNUMBER(BL33/BM33),BL33/BM33," - ")</f>
        <v xml:space="preserve"> - </v>
      </c>
      <c r="BK33" s="709"/>
      <c r="BL33" s="681">
        <f>IF(ISNUMBER(STDEV(BL8:BL30)),STDEV(BL8:BL30),"-")</f>
        <v>0.22112703227918534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OSvdCKvaKj3zJAYTL7MfVrZfBkl5Zw1t0aOuxBFu/JbWu62ymqNacyvITcoH69qdBSutdSWrVaTgaxtNHRTCTg==" saltValue="E8Hr1MXXGCThxHI1n7cN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QUINTANAR DE LA ORDEN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1373</v>
      </c>
      <c r="AF12" s="693" t="str">
        <f>IF(ISNUMBER(Datos!BV12),Datos!BV12," - ")</f>
        <v xml:space="preserve"> - </v>
      </c>
      <c r="AG12" s="552" t="str">
        <f>IF(ISNUMBER(Datos!DV12),Datos!DV12," - ")</f>
        <v xml:space="preserve"> - </v>
      </c>
      <c r="AH12" s="553"/>
      <c r="AI12" s="554"/>
      <c r="AJ12" s="552">
        <f>IF(ISNUMBER(Datos!M12),Datos!M12," - ")</f>
        <v>184</v>
      </c>
      <c r="AK12" s="693">
        <f>IF(ISNUMBER(Datos!N12),Datos!N12," - ")</f>
        <v>211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21.458549222797927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8.280757097791798E-2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81</v>
      </c>
      <c r="AA14" s="1199">
        <f t="shared" si="3"/>
        <v>3</v>
      </c>
      <c r="AB14" s="1199">
        <f t="shared" si="3"/>
        <v>0</v>
      </c>
      <c r="AC14" s="1199">
        <f t="shared" si="3"/>
        <v>0</v>
      </c>
      <c r="AD14" s="1199">
        <f t="shared" si="3"/>
        <v>0</v>
      </c>
      <c r="AE14" s="1199">
        <f t="shared" si="3"/>
        <v>1373</v>
      </c>
      <c r="AF14" s="1211">
        <f t="shared" si="3"/>
        <v>0</v>
      </c>
      <c r="AG14" s="1211">
        <f t="shared" si="3"/>
        <v>0</v>
      </c>
      <c r="AH14" s="1211">
        <f t="shared" si="3"/>
        <v>0</v>
      </c>
      <c r="AI14" s="1211">
        <f t="shared" si="3"/>
        <v>0</v>
      </c>
      <c r="AJ14" s="1211">
        <f t="shared" si="3"/>
        <v>186</v>
      </c>
      <c r="AK14" s="1211">
        <f t="shared" si="3"/>
        <v>211</v>
      </c>
      <c r="AL14" s="1211">
        <f t="shared" si="3"/>
        <v>0</v>
      </c>
      <c r="AM14" s="1211">
        <f t="shared" si="3"/>
        <v>0</v>
      </c>
      <c r="AN14" s="1211">
        <f t="shared" si="3"/>
        <v>0</v>
      </c>
      <c r="AO14" s="1203">
        <f>IF(ISNUMBER(((NºAsuntos!I14/NºAsuntos!G14)*11)/factor_trimestre),((NºAsuntos!I14/NºAsuntos!G14)*11)/factor_trimestre," - ")</f>
        <v>21.418064516129032</v>
      </c>
      <c r="AP14" s="1213" t="str">
        <f>IF(ISNUMBER(Datos!CI14/Datos!CJ14),Datos!CI14/Datos!CJ14," - ")</f>
        <v xml:space="preserve"> - </v>
      </c>
      <c r="AQ14" s="1236">
        <f t="shared" ref="AQ14:AV14" si="4">SUBTOTAL(9,AQ9:AQ13)</f>
        <v>0</v>
      </c>
      <c r="AR14" s="1236">
        <f t="shared" si="4"/>
        <v>8.280757097791798E-2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566</v>
      </c>
      <c r="G17" s="552">
        <f>IF(ISNUMBER(IF(D_I="SI",Datos!I17,Datos!I17+Datos!AC17)),IF(D_I="SI",Datos!I17,Datos!I17+Datos!AC17)," - ")</f>
        <v>562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1386</v>
      </c>
      <c r="Z17" s="805">
        <f>IF(ISNUMBER(Datos!Q17),Datos!Q17," - ")</f>
        <v>23</v>
      </c>
      <c r="AA17" s="551">
        <f>IF(ISNUMBER(IF(D_I="SI",Datos!L17,Datos!L17+Datos!AF17)),IF(D_I="SI",Datos!L17,Datos!L17+Datos!AF17)," - ")</f>
        <v>544</v>
      </c>
      <c r="AB17" s="549"/>
      <c r="AC17" s="549"/>
      <c r="AD17" s="563"/>
      <c r="AE17" s="563">
        <f>IF(ISNUMBER(Datos!R17),Datos!R17," - ")</f>
        <v>80</v>
      </c>
      <c r="AF17" s="693" t="str">
        <f>IF(ISNUMBER(Datos!BV17),Datos!BV17," - ")</f>
        <v xml:space="preserve"> - </v>
      </c>
      <c r="AG17" s="552"/>
      <c r="AH17" s="553"/>
      <c r="AI17" s="554"/>
      <c r="AJ17" s="552">
        <f>IF(ISNUMBER(Datos!M17),Datos!M17," - ")</f>
        <v>196</v>
      </c>
      <c r="AK17" s="693">
        <f>IF(ISNUMBER(Datos!N17),Datos!N17," - ")</f>
        <v>693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4.3174603174603172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135</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19</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0.81481481481481477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566</v>
      </c>
      <c r="G23" s="1197">
        <f>SUBTOTAL(9,G16:G22)</f>
        <v>568</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1521</v>
      </c>
      <c r="Z23" s="1240">
        <f t="shared" si="6"/>
        <v>23</v>
      </c>
      <c r="AA23" s="1240">
        <f t="shared" si="6"/>
        <v>554</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215</v>
      </c>
      <c r="AK23" s="1240">
        <f t="shared" si="6"/>
        <v>768</v>
      </c>
      <c r="AL23" s="1240">
        <f t="shared" si="6"/>
        <v>0</v>
      </c>
      <c r="AM23" s="1240">
        <f t="shared" si="6"/>
        <v>0</v>
      </c>
      <c r="AN23" s="1240">
        <f t="shared" si="6"/>
        <v>0</v>
      </c>
      <c r="AO23" s="1242">
        <f>IF(ISNUMBER(((NºAsuntos!I23/NºAsuntos!G23)*11)/factor_trimestre),((NºAsuntos!I23/NºAsuntos!G23)*11)/factor_trimestre," - ")</f>
        <v>4.0065746219592375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567</v>
      </c>
      <c r="G31" s="1117">
        <f t="shared" si="12"/>
        <v>569</v>
      </c>
      <c r="H31" s="1118">
        <f t="shared" si="12"/>
        <v>0</v>
      </c>
      <c r="I31" s="1117">
        <f t="shared" si="12"/>
        <v>0</v>
      </c>
      <c r="J31" s="1119">
        <f t="shared" si="12"/>
        <v>0</v>
      </c>
      <c r="K31" s="1117">
        <f t="shared" si="12"/>
        <v>0</v>
      </c>
      <c r="L31" s="1120">
        <f t="shared" si="12"/>
        <v>0</v>
      </c>
      <c r="M31" s="1117">
        <f t="shared" si="12"/>
        <v>0</v>
      </c>
      <c r="N31" s="1118">
        <f t="shared" si="12"/>
        <v>230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1524</v>
      </c>
      <c r="Z31" s="1124">
        <f t="shared" si="13"/>
        <v>104</v>
      </c>
      <c r="AA31" s="1125">
        <f t="shared" si="13"/>
        <v>557</v>
      </c>
      <c r="AB31" s="1125">
        <f t="shared" si="13"/>
        <v>0</v>
      </c>
      <c r="AC31" s="1125">
        <f t="shared" si="13"/>
        <v>0</v>
      </c>
      <c r="AD31" s="1126">
        <f t="shared" si="13"/>
        <v>0</v>
      </c>
      <c r="AE31" s="1126">
        <f t="shared" si="13"/>
        <v>1453</v>
      </c>
      <c r="AF31" s="1127">
        <f t="shared" si="13"/>
        <v>0</v>
      </c>
      <c r="AG31" s="1128">
        <f t="shared" si="13"/>
        <v>0</v>
      </c>
      <c r="AH31" s="1129">
        <f t="shared" si="13"/>
        <v>0</v>
      </c>
      <c r="AI31" s="1127">
        <f t="shared" si="13"/>
        <v>0</v>
      </c>
      <c r="AJ31" s="1117">
        <f t="shared" si="13"/>
        <v>401</v>
      </c>
      <c r="AK31" s="1117">
        <f t="shared" si="13"/>
        <v>979</v>
      </c>
      <c r="AL31" s="1117">
        <f t="shared" si="13"/>
        <v>0</v>
      </c>
      <c r="AM31" s="1130">
        <f t="shared" si="13"/>
        <v>0</v>
      </c>
      <c r="AN31" s="1120">
        <f>IF(ISNUMBER(Datos!K31/Datos!J31),Datos!K31/Datos!J31," - ")</f>
        <v>0.84782608695652173</v>
      </c>
      <c r="AO31" s="1120">
        <f>IF(ISNUMBER(FIND("06",Criterios!A8,1)),(IF(ISNUMBER(((Datos!R31/Datos!Q31)*11)/factor_trimestre),((Datos!R31/Datos!Q31)*11)/factor_trimestre," - ")),(IF(ISNUMBER(((Datos!L31/Datos!K31)*11)/factor_trimestre),((Datos!L31/Datos!K31)*11)/factor_trimestre," - ")))</f>
        <v>9.8669319186560571</v>
      </c>
      <c r="AP31" s="1131" t="str">
        <f>IF(ISNUMBER(Datos!CI31/Datos!CJ31),Datos!CI31/Datos!CJ31," - ")</f>
        <v xml:space="preserve"> - </v>
      </c>
      <c r="AQ31" s="1131">
        <f>IF(OR(ISNUMBER(FIND("01",Criterios!A8,1)),ISNUMBER(FIND("02",Criterios!A8,1)),ISNUMBER(FIND("03",Criterios!A8,1)),ISNUMBER(FIND("04",Criterios!A8,1))),(J31-Y31+K31)/(F31-K31),(I31-Y31+K31)/(F31-K31))</f>
        <v>-2.6878306878306879</v>
      </c>
      <c r="AR31" s="1131">
        <f>IF(ISNUMBER((Datos!P31-Datos!Q31+O31)/(Datos!R31-Datos!P31+Datos!Q31-O31)),(Datos!P31-Datos!Q31+O31)/(Datos!R31-Datos!P31+Datos!Q31-O31)," - ")</f>
        <v>9.4951017332328566E-2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292.02328674268426</v>
      </c>
      <c r="G33" s="674">
        <f>IF(ISNUMBER(STDEV(G8:G30)),STDEV(G8:G30),"-")</f>
        <v>274.92414538247766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102.16058787167248</v>
      </c>
      <c r="AK33" s="276"/>
      <c r="AL33" s="276">
        <f>IF(ISNUMBER(STDEV(AL8:AL30)),STDEV(AL8:AL30),"-")</f>
        <v>0</v>
      </c>
      <c r="AM33" s="278">
        <f>IF(ISNUMBER(STDEV(AM8:AM30)),STDEV(AM8:AM30),"-")</f>
        <v>0</v>
      </c>
      <c r="AN33" s="660">
        <f>IF(ISNUMBER(STDEV(AN8:AN30)),STDEV(AN8:AN30),"-")</f>
        <v>0</v>
      </c>
      <c r="AO33" s="661">
        <f>IF(ISNUMBER(STDEV(AO8:AO30)),STDEV(AO8:AO30),"-")</f>
        <v>9.096538639848271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PFLLgtoZKZVTZkm3kBSkvm4m0smi29A3FkhD/dI5BS3m+0coR9Dqlk8E3z5Y1hXpzvhWFnl6to3a8HoP7kVe3A==" saltValue="f/P/R3eEBX5NVVlGkglt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XXn1MSpVvBN7W14kd+nybF+0j9U2DiBndZ7jBE1tQnWO7tCaT6RsFGanY3Mohi8tvVMOqkanXMr9Fkwyyp8+A==" saltValue="JGuADbyEt6Y3dsNXs9H7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Q8d5UvVOEiE1tNRuO15JC+fliBqK/Z0x9lboS8fPreZuzsKtd6OVfjJ56EgIYguagkAB8kIwKD7XuyWSPlTtw==" saltValue="En8Ct67ArvK6NJaYsDt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QUINTANAR DE LA ORDEN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0.16970562748477142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4/Fk06i603kDLuIF3i6cilYfXqf6XwOuvs6ACtIRurtS8k3eaZPMLVIy+6bV+oIXwFsAFwQY8DtUlldQA3xhA==" saltValue="x0iZH4cB7ulmHY78+4Vx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GAv0vlUWVCIVra7u+P66xrp+959Cz0UnUKpfXdzXQBQstcbrbrNdMPXMYIdiGE0bY2TfRNksKV6VJjf5Wodu3A==" saltValue="Tt1cL2t8ec6LfKNP+v8e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QUINTANAR DE LA ORDEN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5</v>
      </c>
      <c r="F10" s="452">
        <f>IF(ISNUMBER(E10/B10),E10/B10," - ")</f>
        <v>5</v>
      </c>
      <c r="G10" s="451">
        <f>IF(ISNUMBER(Datos!K10),Datos!K10," - ")</f>
        <v>3</v>
      </c>
      <c r="H10" s="452">
        <f>IF(ISNUMBER(G10/B10),G10/B10," - ")</f>
        <v>3</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1006</v>
      </c>
      <c r="D12" s="452">
        <f>IF(ISNUMBER(C12/Datos!BH12),C12/Datos!BH12," - ")</f>
        <v>503</v>
      </c>
      <c r="E12" s="451">
        <f>IF(ISNUMBER(IF(J_V="SI",Datos!J12,Datos!J12+Datos!Z12)),IF(J_V="SI",Datos!J12,Datos!J12+Datos!Z12)," - ")</f>
        <v>1217</v>
      </c>
      <c r="F12" s="452">
        <f>IF(ISNUMBER(E12/B12),E12/B12," - ")</f>
        <v>608.5</v>
      </c>
      <c r="G12" s="451">
        <f>IF(ISNUMBER(IF(J_V="SI",Datos!K12,Datos!K12+Datos!AA12)),IF(J_V="SI",Datos!K12,Datos!K12+Datos!AA12)," - ")</f>
        <v>772</v>
      </c>
      <c r="H12" s="452">
        <f>IF(ISNUMBER(G12/B12),G12/B12," - ")</f>
        <v>386</v>
      </c>
      <c r="I12" s="451">
        <f>IF(ISNUMBER(IF(J_V="SI",Datos!L12,Datos!L12+Datos!AB12)),IF(J_V="SI",Datos!L12,Datos!L12+Datos!AB12)," - ")</f>
        <v>1506</v>
      </c>
      <c r="J12" s="452">
        <f>IF(ISNUMBER(I12/B12),I12/B12," - ")</f>
        <v>753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1007</v>
      </c>
      <c r="D14" s="1147" t="str">
        <f>IF(ISNUMBER(C14/Datos!BI14),C14/Datos!BI14," - ")</f>
        <v xml:space="preserve"> - </v>
      </c>
      <c r="E14" s="1146">
        <f>SUBTOTAL(9,E8:E13)</f>
        <v>1222</v>
      </c>
      <c r="F14" s="1147">
        <f>IF(ISNUMBER(E14/B14),E14/B14," - ")</f>
        <v>611</v>
      </c>
      <c r="G14" s="1146">
        <f>SUBTOTAL(9,G8:G13)</f>
        <v>775</v>
      </c>
      <c r="H14" s="1147">
        <f>IF(ISNUMBER(G14/B14),G14/B14," - ")</f>
        <v>387.5</v>
      </c>
      <c r="I14" s="1146">
        <f>SUBTOTAL(9,I8:I13)</f>
        <v>1509</v>
      </c>
      <c r="J14" s="1147">
        <f>IF(ISNUMBER(I14/B14),I14/B14," - ")</f>
        <v>754.5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562</v>
      </c>
      <c r="D17" s="452">
        <f>IF(ISNUMBER(C17/Datos!BH17),C17/Datos!BH17," - ")</f>
        <v>281</v>
      </c>
      <c r="E17" s="451">
        <f>IF(ISNUMBER(IF(D_I="SI",Datos!J17,Datos!J17+Datos!AD17)),IF(D_I="SI",Datos!J17,Datos!J17+Datos!AD17)," - ")</f>
        <v>1364</v>
      </c>
      <c r="F17" s="452">
        <f>IF(ISNUMBER(E17/B17),E17/B17," - ")</f>
        <v>682</v>
      </c>
      <c r="G17" s="451">
        <f>IF(ISNUMBER(IF(D_I="SI",Datos!K17,Datos!K17+Datos!AE17)),IF(D_I="SI",Datos!K17,Datos!K17+Datos!AE17)," - ")</f>
        <v>1386</v>
      </c>
      <c r="H17" s="452">
        <f>IF(ISNUMBER(G17/B17),G17/B17," - ")</f>
        <v>693</v>
      </c>
      <c r="I17" s="451">
        <f>IF(ISNUMBER(IF(D_I="SI",Datos!L17,Datos!L17+Datos!AF17)),IF(D_I="SI",Datos!L17,Datos!L17+Datos!AF17)," - ")</f>
        <v>544</v>
      </c>
      <c r="J17" s="452">
        <f>IF(ISNUMBER(I17/B17),I17/B17," - ")</f>
        <v>272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139</v>
      </c>
      <c r="F18" s="452">
        <f>IF(ISNUMBER(E18/B18),E18/B18," - ")</f>
        <v>139</v>
      </c>
      <c r="G18" s="451">
        <f>IF(ISNUMBER(IF(D_I="SI",Datos!K18,Datos!K18+Datos!AE18)),IF(D_I="SI",Datos!K18,Datos!K18+Datos!AE18)," - ")</f>
        <v>135</v>
      </c>
      <c r="H18" s="452">
        <f>IF(ISNUMBER(G18/B18),G18/B18," - ")</f>
        <v>135</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568</v>
      </c>
      <c r="D23" s="1147" t="str">
        <f>IF(ISNUMBER(C23/Datos!BI23),C23/Datos!BI23," - ")</f>
        <v xml:space="preserve"> - </v>
      </c>
      <c r="E23" s="1146">
        <f>SUBTOTAL(9,E15:E22)</f>
        <v>1503</v>
      </c>
      <c r="F23" s="1147">
        <f>IF(ISNUMBER(E23/B23),E23/B23," - ")</f>
        <v>751.5</v>
      </c>
      <c r="G23" s="1146">
        <f>SUBTOTAL(9,G15:G22)</f>
        <v>1521</v>
      </c>
      <c r="H23" s="1147">
        <f>IF(ISNUMBER(G23/B23),G23/B23," - ")</f>
        <v>760.5</v>
      </c>
      <c r="I23" s="1146">
        <f>SUBTOTAL(9,I15:I22)</f>
        <v>554</v>
      </c>
      <c r="J23" s="1147">
        <f>IF(ISNUMBER(I23/B23),I23/B23," - ")</f>
        <v>277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1575</v>
      </c>
      <c r="D31" s="1085" t="str">
        <f>IF(ISNUMBER(C31/Datos!BI31),C31/Datos!BI31," - ")</f>
        <v xml:space="preserve"> - </v>
      </c>
      <c r="E31" s="1084">
        <f>SUBTOTAL(9,E9:E30)</f>
        <v>2725</v>
      </c>
      <c r="F31" s="1085">
        <f>IF(ISNUMBER(E31/B31),E31/B31," - ")</f>
        <v>1362.5</v>
      </c>
      <c r="G31" s="1084">
        <f>SUBTOTAL(9,G9:G30)</f>
        <v>2296</v>
      </c>
      <c r="H31" s="1085">
        <f>IF(ISNUMBER(G31/B31),G31/B31," - ")</f>
        <v>1148</v>
      </c>
      <c r="I31" s="1084">
        <f>SUBTOTAL(9,I9:I30)</f>
        <v>2063</v>
      </c>
      <c r="J31" s="1085">
        <f>IF(ISNUMBER(I31/B31),I31/B31," - ")</f>
        <v>1031.5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2MtOszF4GIqfCf25jrCCOoO+LCoP6opapCNRN7wCO7gbCGGg+uNqQHos+meqyGcyQ/gwdpHmCjO+Njc+vUGlBQ==" saltValue="k4eLUcLSGnfazuzoZz4f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QUINTANAR DE LA ORDEN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184</v>
      </c>
      <c r="AM12" s="914">
        <f>IF(ISNUMBER(Datos!N12+DatosP!N17),Datos!N12+DatosP!N17," - ")</f>
        <v>211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21.458549222797927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8.280757097791798E-2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81</v>
      </c>
      <c r="AE14" s="1257">
        <f t="shared" si="1"/>
        <v>0</v>
      </c>
      <c r="AF14" s="1257">
        <f t="shared" si="1"/>
        <v>3</v>
      </c>
      <c r="AG14" s="1257">
        <f t="shared" si="1"/>
        <v>0</v>
      </c>
      <c r="AH14" s="1257">
        <f t="shared" si="1"/>
        <v>1373</v>
      </c>
      <c r="AI14" s="1257">
        <f t="shared" si="1"/>
        <v>0</v>
      </c>
      <c r="AJ14" s="1257">
        <f t="shared" si="1"/>
        <v>0</v>
      </c>
      <c r="AK14" s="1257">
        <f t="shared" si="1"/>
        <v>0</v>
      </c>
      <c r="AL14" s="1257">
        <f t="shared" si="1"/>
        <v>186</v>
      </c>
      <c r="AM14" s="1257">
        <f t="shared" si="1"/>
        <v>211</v>
      </c>
      <c r="AN14" s="1257">
        <f t="shared" si="1"/>
        <v>0</v>
      </c>
      <c r="AO14" s="1257">
        <f t="shared" si="1"/>
        <v>0</v>
      </c>
      <c r="AP14" s="1262">
        <f>IF(ISNUMBER(((Datos!L14/Datos!K14)*11)/factor_trimestre),((Datos!L14/Datos!K14)*11)/factor_trimestre," - ")</f>
        <v>21.896086369770579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8.280757097791798E-2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4.0065746219592375</v>
      </c>
      <c r="AQ23" s="1262">
        <f>IF(ISNUMBER(((Datos!M23/Datos!L23)*11)/factor_trimestre),((Datos!M23/Datos!L23)*11)/factor_trimestre," - ")</f>
        <v>4.268953068592058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0.3559322033898305</v>
      </c>
      <c r="AW23" s="1265">
        <f>IF(ISNUMBER((Datos!Q23-Datos!R23)/(Datos!S23-Datos!Q23+Datos!R23)),(Datos!Q23-Datos!R23)/(Datos!S23-Datos!Q23+Datos!R23)," - ")</f>
        <v>-8.2608695652173908E-2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81</v>
      </c>
      <c r="AE31" s="1284">
        <f t="shared" si="9"/>
        <v>0</v>
      </c>
      <c r="AF31" s="1285">
        <f t="shared" si="9"/>
        <v>3</v>
      </c>
      <c r="AG31" s="1285">
        <f t="shared" si="9"/>
        <v>0</v>
      </c>
      <c r="AH31" s="1285">
        <f t="shared" si="9"/>
        <v>1373</v>
      </c>
      <c r="AI31" s="1285">
        <f t="shared" si="9"/>
        <v>0</v>
      </c>
      <c r="AJ31" s="1286">
        <f t="shared" si="9"/>
        <v>0</v>
      </c>
      <c r="AK31" s="1286">
        <f t="shared" si="9"/>
        <v>0</v>
      </c>
      <c r="AL31" s="1278">
        <f t="shared" si="9"/>
        <v>186</v>
      </c>
      <c r="AM31" s="1278">
        <f t="shared" si="9"/>
        <v>211</v>
      </c>
      <c r="AN31" s="1278">
        <f t="shared" si="9"/>
        <v>0</v>
      </c>
      <c r="AO31" s="1278">
        <f t="shared" si="9"/>
        <v>0</v>
      </c>
      <c r="AP31" s="1278">
        <f>IF(ISNUMBER(((Datos!L31/Datos!K31)*11)/factor_trimestre),((Datos!L31/Datos!K31)*11)/factor_trimestre," - ")</f>
        <v>9.8669319186560571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9.4951017332328566E-2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95.280638117090717</v>
      </c>
      <c r="AM33" s="1006"/>
      <c r="AN33" s="1006">
        <f>IF(ISNUMBER(STDEV(AN8:AN30)),STDEV(AN8:AN30),"-")</f>
        <v>0</v>
      </c>
      <c r="AO33" s="1012">
        <f>IF(ISNUMBER(STDEV(AO8:AO30)),STDEV(AO8:AO30),"-")</f>
        <v>0</v>
      </c>
      <c r="AP33" s="1065">
        <f>IF(ISNUMBER(STDEV(AP8:AP30)),STDEV(AP8:AP30),"-")</f>
        <v>8.6689649292740043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cBZzUEhxvi6vfKtPqD1yVJAKAy7915MHqQlREk4RZYp8CnlPkFF1HrNlq0FblNmjtIJsSHYPWz892Sj219Cg==" saltValue="MS5oTNuq54TBAliyKT9y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QUINTANAR DE LA ORDEN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qw8EfZeQ794WTqszrVeZEHn2PDD2nSOZuCiQfZju1ANNGVuQ2ZKmf01Id/Tri/GYGs0OjmGLKhrJURxP2dN0WA==" saltValue="XvunbAaovUZk1NQgyJo9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QUINTANAR DE LA ORDEN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184</v>
      </c>
      <c r="E12" s="452">
        <f t="shared" si="0"/>
        <v>92</v>
      </c>
      <c r="F12" s="451">
        <f>IF(ISNUMBER(Datos!N12),Datos!N12," - ")</f>
        <v>211</v>
      </c>
      <c r="G12" s="452">
        <f t="shared" si="1"/>
        <v>105.5</v>
      </c>
      <c r="H12" s="451">
        <f>IF(ISNUMBER(Datos!O12),Datos!O12," - ")</f>
        <v>247</v>
      </c>
      <c r="I12" s="452">
        <f t="shared" si="2"/>
        <v>123.5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186</v>
      </c>
      <c r="E14" s="1147">
        <f t="shared" si="0"/>
        <v>62</v>
      </c>
      <c r="F14" s="1146">
        <f>SUBTOTAL(9,F9:F13)</f>
        <v>211</v>
      </c>
      <c r="G14" s="1147">
        <f t="shared" si="1"/>
        <v>70.333333333333329</v>
      </c>
      <c r="H14" s="1146">
        <f>SUBTOTAL(9,H9:H13)</f>
        <v>247</v>
      </c>
      <c r="I14" s="1147">
        <f>IF(ISNUMBER(H14/B14),H14/B14," - ")</f>
        <v>82.333333333333329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196</v>
      </c>
      <c r="E17" s="452">
        <f t="shared" si="3"/>
        <v>98</v>
      </c>
      <c r="F17" s="451">
        <f>IF(ISNUMBER(Datos!N17),Datos!N17," - ")</f>
        <v>693</v>
      </c>
      <c r="G17" s="452">
        <f t="shared" si="4"/>
        <v>346.5</v>
      </c>
      <c r="H17" s="451">
        <f>IF(ISNUMBER(Datos!O17),Datos!O17," - ")</f>
        <v>0</v>
      </c>
      <c r="I17" s="452">
        <f t="shared" si="5"/>
        <v>0</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75</v>
      </c>
      <c r="G18" s="452">
        <f>IF(ISNUMBER(F18/B18),F18/B18," - ")</f>
        <v>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215</v>
      </c>
      <c r="E23" s="1147">
        <f t="shared" si="3"/>
        <v>71.666666666666671</v>
      </c>
      <c r="F23" s="1146">
        <f>SUBTOTAL(9,F16:F22)</f>
        <v>768</v>
      </c>
      <c r="G23" s="1147">
        <f t="shared" si="4"/>
        <v>256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401</v>
      </c>
      <c r="E31" s="1085">
        <f>IF(ISNUMBER(D31/B31),D31/B31," - ")</f>
        <v>200.5</v>
      </c>
      <c r="F31" s="1084">
        <f>SUBTOTAL(9,F8:F30)</f>
        <v>979</v>
      </c>
      <c r="G31" s="1085">
        <f>IF(ISNUMBER(F31/B31),F31/B31," - ")</f>
        <v>489.5</v>
      </c>
      <c r="H31" s="1084">
        <f>SUBTOTAL(9,H8:H30)</f>
        <v>247</v>
      </c>
      <c r="I31" s="1085">
        <f>IF(ISNUMBER(H31/B31),H31/B31," - ")</f>
        <v>123.5</v>
      </c>
    </row>
    <row r="34" spans="1:1">
      <c r="A34" s="439" t="str">
        <f>Criterios!A4</f>
        <v>Fecha Informe: 14 abr. 2023</v>
      </c>
    </row>
    <row r="39" spans="1:1">
      <c r="A39" s="462"/>
    </row>
  </sheetData>
  <sheetProtection algorithmName="SHA-512" hashValue="w6hjPRAiI1iOEDi7jfuOdbYfLD77wFfeoGy/qEwgajzUgfgqqf1K4tF8F8FKRnnuFmUwpZVHs86Cn8XEoX+V3g==" saltValue="85BP/Ra4QvKWUK3w73i+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QUINTANAR DE LA ORDEN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186</v>
      </c>
      <c r="C12" s="489">
        <f>IF(ISNUMBER(Datos!Q12),Datos!Q12," - ")</f>
        <v>81</v>
      </c>
      <c r="D12" s="456">
        <f>IF(ISNUMBER(Datos!R12),Datos!R12," - ")</f>
        <v>1373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186</v>
      </c>
      <c r="C14" s="1150">
        <f>SUBTOTAL(9,C9:C13)</f>
        <v>81</v>
      </c>
      <c r="D14" s="1148">
        <f>SUBTOTAL(9,D9:D13)</f>
        <v>1373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23</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23</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230</v>
      </c>
      <c r="C31" s="1089">
        <f>SUBTOTAL(9,C8:C30)</f>
        <v>104</v>
      </c>
      <c r="D31" s="1090">
        <f>SUBTOTAL(9,D8:D30)</f>
        <v>1453</v>
      </c>
    </row>
    <row r="32" spans="1:4" ht="7.5" customHeight="1"/>
    <row r="33" spans="1:1" ht="6" customHeight="1"/>
    <row r="34" spans="1:1">
      <c r="A34" s="439" t="str">
        <f>Criterios!A4</f>
        <v>Fecha Informe: 14 abr. 2023</v>
      </c>
    </row>
    <row r="39" spans="1:1">
      <c r="A39" s="462"/>
    </row>
  </sheetData>
  <sheetProtection algorithmName="SHA-512" hashValue="krvJ1ajXpimjDBvB1k8FHXo5FSFPhsj8QGLl/GuALJfbWvM9C6KZ+7PXJtuKm+9KCVqyODz5I7cgyo71YjOaXQ==" saltValue="Ijay9DuNyfPKRGGPneNY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QUINTANAR DE LA ORDEN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-0.54545454545454541</v>
      </c>
      <c r="D10" s="515">
        <f>IF(ISNUMBER((Datos!K10-Datos!U10)/Datos!U10),(Datos!K10-Datos!U10)/Datos!U10," - ")</f>
        <v>-0.7857142857142857</v>
      </c>
      <c r="E10" s="515">
        <f>IF(ISNUMBER((Datos!L10-Datos!V10)/Datos!V10),(Datos!L10-Datos!V10)/Datos!V10," - ")</f>
        <v>2</v>
      </c>
      <c r="F10" s="515">
        <f>IF(ISNUMBER((Datos!M10-Datos!W10)/Datos!W10),(Datos!M10-Datos!W10)/Datos!W10," - ")</f>
        <v>-0.83333333333333337</v>
      </c>
      <c r="G10" s="516" t="str">
        <f>IF(ISNUMBER((Datos!N10-Datos!X10)/Datos!X10),(Datos!N10-Datos!X10)/Datos!X10," - ")</f>
        <v xml:space="preserve"> - </v>
      </c>
      <c r="H10" s="514">
        <f>IF(ISNUMBER(((NºAsuntos!G10/NºAsuntos!E10)-Datos!BD10)/Datos!BD10),((NºAsuntos!G10/NºAsuntos!E10)-Datos!BD10)/Datos!BD10," - ")</f>
        <v>-0.52857142857142858</v>
      </c>
      <c r="I10" s="515">
        <f>IF(ISNUMBER(((NºAsuntos!I10/NºAsuntos!G10)-Datos!BE10)/Datos!BE10),((NºAsuntos!I10/NºAsuntos!G10)-Datos!BE10)/Datos!BE10," - ")</f>
        <v>13.000000000000002</v>
      </c>
      <c r="J10" s="521">
        <f>IF(ISNUMBER((('Resol  Asuntos'!D10/NºAsuntos!G10)-Datos!BF10)/Datos!BF10),(('Resol  Asuntos'!D10/NºAsuntos!G10)-Datos!BF10)/Datos!BF10," - ")</f>
        <v>-0.22222222222222221</v>
      </c>
      <c r="K10" s="522">
        <f>IF(ISNUMBER((((NºAsuntos!C10+NºAsuntos!E10)/NºAsuntos!G10)-Datos!BG10)/Datos!BG10),(((NºAsuntos!C10+NºAsuntos!E10)/NºAsuntos!G10)-Datos!BG10)/Datos!BG10," - ")</f>
        <v>0.8666666666666667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6.118143459915612E-2</v>
      </c>
      <c r="C12" s="515">
        <f>IF(ISNUMBER(
   IF(J_V="SI",(Datos!J12-Datos!T12)/Datos!T12,(Datos!J12+Datos!Z12-(Datos!T12+Datos!AH12))/(Datos!T12+Datos!AH12))
     ),IF(J_V="SI",(Datos!J12-Datos!T12)/Datos!T12,(Datos!J12+Datos!Z12-(Datos!T12+Datos!AH12))/(Datos!T12+Datos!AH12))," - ")</f>
        <v>0.17584541062801931</v>
      </c>
      <c r="D12" s="515">
        <f>IF(ISNUMBER(
   IF(J_V="SI",(Datos!K12-Datos!U12)/Datos!U12,(Datos!K12+Datos!AA12-(Datos!U12+Datos!AI12))/(Datos!U12+Datos!AI12))
     ),IF(J_V="SI",(Datos!K12-Datos!U12)/Datos!U12,(Datos!K12+Datos!AA12-(Datos!U12+Datos!AI12))/(Datos!U12+Datos!AI12))," - ")</f>
        <v>-0.1752136752136752</v>
      </c>
      <c r="E12" s="515">
        <f>IF(ISNUMBER(
   IF(J_V="SI",(Datos!L12-Datos!V12)/Datos!V12,(Datos!L12+Datos!AB12-(Datos!V12+Datos!AJ12))/(Datos!V12+Datos!AJ12))
     ),IF(J_V="SI",(Datos!L12-Datos!V12)/Datos!V12,(Datos!L12+Datos!AB12-(Datos!V12+Datos!AJ12))/(Datos!V12+Datos!AJ12))," - ")</f>
        <v>0.49701789264413521</v>
      </c>
      <c r="F12" s="515">
        <f>IF(ISNUMBER((Datos!M12-Datos!W12)/Datos!W12),(Datos!M12-Datos!W12)/Datos!W12," - ")</f>
        <v>-0.23012552301255229</v>
      </c>
      <c r="G12" s="516">
        <f>IF(ISNUMBER((Datos!N12-Datos!X12)/Datos!X12),(Datos!N12-Datos!X12)/Datos!X12," - ")</f>
        <v>-0.24642857142857144</v>
      </c>
      <c r="H12" s="514">
        <f>IF(ISNUMBER(((NºAsuntos!G12/NºAsuntos!E12)-Datos!BD12)/Datos!BD12),((NºAsuntos!G12/NºAsuntos!E12)-Datos!BD12)/Datos!BD12," - ")</f>
        <v>-0.29855887744137533</v>
      </c>
      <c r="I12" s="515">
        <f>IF(ISNUMBER(((NºAsuntos!I12/NºAsuntos!G12)-Datos!BE12)/Datos!BE12),((NºAsuntos!I12/NºAsuntos!G12)-Datos!BE12)/Datos!BE12," - ")</f>
        <v>0.8150372377136148</v>
      </c>
      <c r="J12" s="521">
        <f>IF(ISNUMBER((('Resol  Asuntos'!D12/NºAsuntos!G12)-Datos!BF12)/Datos!BF12),(('Resol  Asuntos'!D12/NºAsuntos!G12)-Datos!BF12)/Datos!BF12," - ")</f>
        <v>-0.20325684678016287</v>
      </c>
      <c r="K12" s="522">
        <f>IF(ISNUMBER((((NºAsuntos!C12+NºAsuntos!E12)/NºAsuntos!G12)-Datos!BG12)/Datos!BG12),(((NºAsuntos!C12+NºAsuntos!E12)/NºAsuntos!G12)-Datos!BG12)/Datos!BG12," - ")</f>
        <v>0.35917474700759566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5.7773109243697482E-2</v>
      </c>
      <c r="C14" s="1152">
        <f>IF(ISNUMBER(
   IF(J_V="SI",(Datos!J14-Datos!T14)/Datos!T14,(Datos!J14+Datos!Z14-(Datos!T14+Datos!AH14))/(Datos!T14+Datos!AH14))
     ),IF(J_V="SI",(Datos!J14-Datos!T14)/Datos!T14,(Datos!J14+Datos!Z14-(Datos!T14+Datos!AH14))/(Datos!T14+Datos!AH14))," - ")</f>
        <v>0.16826003824091779</v>
      </c>
      <c r="D14" s="1152">
        <f>IF(ISNUMBER(
   IF(J_V="SI",(Datos!K14-Datos!U14)/Datos!U14,(Datos!K14+Datos!AA14-(Datos!U14+Datos!AI14))/(Datos!U14+Datos!AI14))
     ),IF(J_V="SI",(Datos!K14-Datos!U14)/Datos!U14,(Datos!K14+Datos!AA14-(Datos!U14+Datos!AI14))/(Datos!U14+Datos!AI14))," - ")</f>
        <v>-0.18421052631578946</v>
      </c>
      <c r="E14" s="1152">
        <f>IF(ISNUMBER(
   IF(J_V="SI",(Datos!L14-Datos!V14)/Datos!V14,(Datos!L14+Datos!AB14-(Datos!V14+Datos!AJ14))/(Datos!V14+Datos!AJ14))
     ),IF(J_V="SI",(Datos!L14-Datos!V14)/Datos!V14,(Datos!L14+Datos!AB14-(Datos!V14+Datos!AJ14))/(Datos!V14+Datos!AJ14))," - ")</f>
        <v>0.49851042701092352</v>
      </c>
      <c r="F14" s="1153">
        <f>IF(ISNUMBER((Datos!M14-Datos!W14)/Datos!W14),(Datos!M14-Datos!W14)/Datos!W14," - ")</f>
        <v>-0.25896414342629481</v>
      </c>
      <c r="G14" s="1154">
        <f>IF(ISNUMBER((Datos!N14-Datos!X14)/Datos!X14),(Datos!N14-Datos!X14)/Datos!X14," - ")</f>
        <v>-0.24642857142857144</v>
      </c>
      <c r="H14" s="1154">
        <f>IF(ISNUMBER(((NºAsuntos!G14/NºAsuntos!E14)-Datos!BD14)/Datos!BD14),((NºAsuntos!G14/NºAsuntos!E14)-Datos!BD14)/Datos!BD14," - ")</f>
        <v>-0.30170557326212433</v>
      </c>
      <c r="I14" s="1154">
        <f>IF(ISNUMBER(((NºAsuntos!I14/NºAsuntos!G14)-Datos!BE14)/Datos!BE14),((NºAsuntos!I14/NºAsuntos!G14)-Datos!BE14)/Datos!BE14," - ")</f>
        <v>0.8368837492391964</v>
      </c>
      <c r="J14" s="1154">
        <f>IF(ISNUMBER((('Resol  Asuntos'!D14/NºAsuntos!G14)-Datos!BF14)/Datos!BF14),(('Resol  Asuntos'!D14/NºAsuntos!G14)-Datos!BF14)/Datos!BF14," - ")</f>
        <v>-0.21917808219178084</v>
      </c>
      <c r="K14" s="1154">
        <f>IF(ISNUMBER((((NºAsuntos!C14+NºAsuntos!E14)/NºAsuntos!G14)-Datos!BG14)/Datos!BG14),(((NºAsuntos!C14+NºAsuntos!E14)/NºAsuntos!G14)-Datos!BG14)/Datos!BG14," - ")</f>
        <v>0.36752881914172242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-9.5008051529790666E-2</v>
      </c>
      <c r="C17" s="515">
        <f>IF(ISNUMBER(
   IF(D_I="SI",(Datos!J17-Datos!T17)/Datos!T17,(Datos!J17+Datos!AD17-(Datos!T17+Datos!AL17))/(Datos!T17+Datos!AL17))
     ),IF(D_I="SI",(Datos!J17-Datos!T17)/Datos!T17,(Datos!J17+Datos!AD17-(Datos!T17+Datos!AL17))/(Datos!T17+Datos!AL17))," - ")</f>
        <v>0.10804224207961008</v>
      </c>
      <c r="D17" s="515">
        <f>IF(ISNUMBER(
   IF(D_I="SI",(Datos!K17-Datos!U17)/Datos!U17,(Datos!K17+Datos!AE17-(Datos!U17+Datos!AM17))/(Datos!U17+Datos!AM17))
     ),IF(D_I="SI",(Datos!K17-Datos!U17)/Datos!U17,(Datos!K17+Datos!AE17-(Datos!U17+Datos!AM17))/(Datos!U17+Datos!AM17))," - ")</f>
        <v>0.19689119170984457</v>
      </c>
      <c r="E17" s="515">
        <f>IF(ISNUMBER(
   IF(D_I="SI",(Datos!L17-Datos!V17)/Datos!V17,(Datos!L17+Datos!AF17-(Datos!V17+Datos!AN17))/(Datos!V17+Datos!AN17))
     ),IF(D_I="SI",(Datos!L17-Datos!V17)/Datos!V17,(Datos!L17+Datos!AF17-(Datos!V17+Datos!AN17))/(Datos!V17+Datos!AN17))," - ")</f>
        <v>-3.2028469750889681E-2</v>
      </c>
      <c r="F17" s="515">
        <f>IF(ISNUMBER((Datos!M17-Datos!W17)/Datos!W17),(Datos!M17-Datos!W17)/Datos!W17," - ")</f>
        <v>0.21739130434782608</v>
      </c>
      <c r="G17" s="516">
        <f>IF(ISNUMBER((Datos!N17-Datos!X17)/Datos!X17),(Datos!N17-Datos!X17)/Datos!X17," - ")</f>
        <v>1.4450867052023121E-3</v>
      </c>
      <c r="H17" s="514">
        <f>IF(ISNUMBER(((NºAsuntos!G17/NºAsuntos!E17)-Datos!BD17)/Datos!BD17),((NºAsuntos!G17/NºAsuntos!E17)-Datos!BD17)/Datos!BD17," - ")</f>
        <v>8.0185525656025408E-2</v>
      </c>
      <c r="I17" s="515">
        <f>IF(ISNUMBER(((NºAsuntos!I17/NºAsuntos!G17)-Datos!BE17)/Datos!BE17),((NºAsuntos!I17/NºAsuntos!G17)-Datos!BE17)/Datos!BE17," - ")</f>
        <v>-0.19126188165334068</v>
      </c>
      <c r="J17" s="521">
        <f>IF(ISNUMBER((('Resol  Asuntos'!D17/NºAsuntos!G17)-Datos!BF17)/Datos!BF17),(('Resol  Asuntos'!D17/NºAsuntos!G17)-Datos!BF17)/Datos!BF17," - ")</f>
        <v>1.7127799736495256E-2</v>
      </c>
      <c r="K17" s="522">
        <f>IF(ISNUMBER((((NºAsuntos!C17+NºAsuntos!E17)/NºAsuntos!G17)-Datos!BG17)/Datos!BG17),(((NºAsuntos!C17+NºAsuntos!E17)/NºAsuntos!G17)-Datos!BG17)/Datos!BG17," - ")</f>
        <v>-0.13111834170149514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0.21929824561403508</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5.5555555555555552E-2</v>
      </c>
      <c r="G18" s="516">
        <f>IF(ISNUMBER((Datos!N18-Datos!X18)/Datos!X18),(Datos!N18-Datos!X18)/Datos!X18," - ")</f>
        <v>-0.45255474452554745</v>
      </c>
      <c r="H18" s="514">
        <f>IF(ISNUMBER(((NºAsuntos!G18/NºAsuntos!E18)-Datos!BD18)/Datos!BD18),((NºAsuntos!G18/NºAsuntos!E18)-Datos!BD18)/Datos!BD18," - ")</f>
        <v>-7.7338129496402869E-2</v>
      </c>
      <c r="I18" s="515">
        <f>IF(ISNUMBER(((NºAsuntos!I18/NºAsuntos!G18)-Datos!BE18)/Datos!BE18),((NºAsuntos!I18/NºAsuntos!G18)-Datos!BE18)/Datos!BE18," - ")</f>
        <v>0.48148148148148134</v>
      </c>
      <c r="J18" s="521">
        <f>IF(ISNUMBER((('Resol  Asuntos'!D18/NºAsuntos!G18)-Datos!BF18)/Datos!BF18),(('Resol  Asuntos'!D18/NºAsuntos!G18)-Datos!BF18)/Datos!BF18," - ")</f>
        <v>-6.1728395061728301E-2</v>
      </c>
      <c r="K18" s="522">
        <f>IF(ISNUMBER((((NºAsuntos!C18+NºAsuntos!E18)/NºAsuntos!G18)-Datos!BG18)/Datos!BG18),(((NºAsuntos!C18+NºAsuntos!E18)/NºAsuntos!G18)-Datos!BG18)/Datos!BG18," - ")</f>
        <v>2.2927689594356319E-2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-0.10268562401263823</v>
      </c>
      <c r="C23" s="1152">
        <f>IF(ISNUMBER(
   IF(Criterios!B14="SI",(Datos!J23-Datos!T23)/Datos!T23,(Datos!J23+Datos!AD23-(Datos!T23+Datos!AL23))/(Datos!T23+Datos!AL23))
     ),IF(Criterios!B14="SI",(Datos!J23-Datos!T23)/Datos!T23,(Datos!J23+Datos!AD23-(Datos!T23+Datos!AL23))/(Datos!T23+Datos!AL23))," - ")</f>
        <v>0.11747211895910781</v>
      </c>
      <c r="D23" s="1152">
        <f>IF(ISNUMBER(
   IF(Criterios!B14="SI",(Datos!K23-Datos!U23)/Datos!U23,(Datos!K23+Datos!AE23-(Datos!U23+Datos!AM23))/(Datos!U23+Datos!AM23))
     ),IF(Criterios!B14="SI",(Datos!K23-Datos!U23)/Datos!U23,(Datos!K23+Datos!AE23-(Datos!U23+Datos!AM23))/(Datos!U23+Datos!AM23))," - ")</f>
        <v>0.19014084507042253</v>
      </c>
      <c r="E23" s="1152">
        <f>IF(ISNUMBER(
   IF(Criterios!B14="SI",(Datos!L23-Datos!V23)/Datos!V23,(Datos!L23+Datos!AF23-(Datos!V23+Datos!AN23))/(Datos!V23+Datos!AN23))
     ),IF(Criterios!B14="SI",(Datos!L23-Datos!V23)/Datos!V23,(Datos!L23+Datos!AF23-(Datos!V23+Datos!AN23))/(Datos!V23+Datos!AN23))," - ")</f>
        <v>-2.464788732394366E-2</v>
      </c>
      <c r="F23" s="1153">
        <f>IF(ISNUMBER((Datos!M23-Datos!W23)/Datos!W23),(Datos!M23-Datos!W23)/Datos!W23," - ")</f>
        <v>0.2011173184357542</v>
      </c>
      <c r="G23" s="1154">
        <f>IF(ISNUMBER((Datos!N23-Datos!X23)/Datos!X23),(Datos!N23-Datos!X23)/Datos!X23," - ")</f>
        <v>-7.3582629674306399E-2</v>
      </c>
      <c r="H23" s="1154">
        <f>IF(ISNUMBER(((NºAsuntos!G23/NºAsuntos!E23)-Datos!BD23)/Datos!BD23),((NºAsuntos!G23/NºAsuntos!E23)-Datos!BD23)/Datos!BD23," - ")</f>
        <v>6.5029565282580457E-2</v>
      </c>
      <c r="I23" s="1154">
        <f>IF(ISNUMBER(((NºAsuntos!I23/NºAsuntos!G23)-Datos!BE23)/Datos!BE23),((NºAsuntos!I23/NºAsuntos!G23)-Datos!BE23)/Datos!BE23," - ")</f>
        <v>-0.18047337278106507</v>
      </c>
      <c r="J23" s="1154">
        <f>IF(ISNUMBER((('Resol  Asuntos'!D23/NºAsuntos!G23)-Datos!BF23)/Datos!BF23),(('Resol  Asuntos'!D23/NºAsuntos!G23)-Datos!BF23)/Datos!BF23," - ")</f>
        <v>9.2228356087401767E-3</v>
      </c>
      <c r="K23" s="1154">
        <f>IF(ISNUMBER((((NºAsuntos!C23+NºAsuntos!E23)/NºAsuntos!G23)-Datos!BG23)/Datos!BG23),(((NºAsuntos!C23+NºAsuntos!E23)/NºAsuntos!G23)-Datos!BG23)/Datos!BG23," - ")</f>
        <v>-0.12025774645359302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-6.3091482649842269E-3</v>
      </c>
      <c r="C31" s="1092">
        <f>IF(ISNUMBER(
   IF(J_V="SI",(Datos!J31-Datos!T31)/Datos!T31,(Datos!J31+Datos!Z31-(Datos!T31+Datos!AH31))/(Datos!T31+Datos!AH31))
     ),IF(J_V="SI",(Datos!J31-Datos!T31)/Datos!T31,(Datos!J31+Datos!Z31-(Datos!T31+Datos!AH31))/(Datos!T31+Datos!AH31))," - ")</f>
        <v>0.13969050606440819</v>
      </c>
      <c r="D31" s="1092">
        <f>IF(ISNUMBER(
   IF(J_V="SI",(Datos!K31-Datos!U31)/Datos!U31,(Datos!K31+Datos!AA31-(Datos!U31+Datos!AI31))/(Datos!U31+Datos!AI31))
     ),IF(J_V="SI",(Datos!K31-Datos!U31)/Datos!U31,(Datos!K31+Datos!AA31-(Datos!U31+Datos!AI31))/(Datos!U31+Datos!AI31))," - ")</f>
        <v>3.052064631956912E-2</v>
      </c>
      <c r="E31" s="1092">
        <f>IF(ISNUMBER(
   IF(J_V="SI",(Datos!L31-Datos!V31)/Datos!V31,(Datos!L31+Datos!AB31-(Datos!V31+Datos!AJ31))/(Datos!V31+Datos!AJ31))
     ),IF(J_V="SI",(Datos!L31-Datos!V31)/Datos!V31,(Datos!L31+Datos!AB31-(Datos!V31+Datos!AJ31))/(Datos!V31+Datos!AJ31))," - ")</f>
        <v>0.30984126984126986</v>
      </c>
      <c r="F31" s="1093">
        <f>IF(ISNUMBER((Datos!M31-Datos!W31)/Datos!W31),(Datos!M31-Datos!W31)/Datos!W31," - ")</f>
        <v>-6.7441860465116285E-2</v>
      </c>
      <c r="G31" s="1094">
        <f>IF(ISNUMBER((Datos!N31-Datos!X31)/Datos!X31),(Datos!N31-Datos!X31)/Datos!X31," - ")</f>
        <v>-0.11722272317403065</v>
      </c>
      <c r="H31" s="1095">
        <f>IF(ISNUMBER((Tasas!B31-Datos!BD31)/Datos!BD31),(Tasas!B31-Datos!BD31)/Datos!BD31," - ")</f>
        <v>-9.578904023849924E-2</v>
      </c>
      <c r="I31" s="1096">
        <f>IF(ISNUMBER((Tasas!C31-Datos!BE31)/Datos!BE31),(Tasas!C31-Datos!BE31)/Datos!BE31," - ")</f>
        <v>0.27104806150102306</v>
      </c>
      <c r="J31" s="1097">
        <f>IF(ISNUMBER((Tasas!D31-Datos!BF31)/Datos!BF31),(Tasas!D31-Datos!BF31)/Datos!BF31," - ")</f>
        <v>-0.17383504590277929</v>
      </c>
      <c r="K31" s="1097">
        <f>IF(ISNUMBER((Tasas!E31-Datos!BG31)/Datos!BG31),(Tasas!E31-Datos!BG31)/Datos!BG31," - ")</f>
        <v>4.9458773547206555E-2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odubHNYBjFA7nyQRXhargb8p4kk++Pc4gMnvwHKmE48GwjuYXAeN5CJc4b7vz2Ie5ULQEfawyOIqVFAJGROw==" saltValue="fvs9dG0IU5YDdj2a98F+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QUINTANAR DE LA ORDEN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v>
      </c>
      <c r="D10" s="499">
        <f>IF(ISNUMBER('Resol  Asuntos'!D10/NºAsuntos!G10),'Resol  Asuntos'!D10/NºAsuntos!G10," - ")</f>
        <v>0.66666666666666663</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0.63434675431388665</v>
      </c>
      <c r="C12" s="498">
        <f>IF(ISNUMBER(NºAsuntos!I12/NºAsuntos!G12),NºAsuntos!I12/NºAsuntos!G12," - ")</f>
        <v>1.9507772020725389</v>
      </c>
      <c r="D12" s="499">
        <f>IF(ISNUMBER('Resol  Asuntos'!D12/NºAsuntos!G12),'Resol  Asuntos'!D12/NºAsuntos!G12," - ")</f>
        <v>0.23834196891191708</v>
      </c>
      <c r="E12" s="500">
        <f>IF(ISNUMBER((NºAsuntos!C12+NºAsuntos!E12)/NºAsuntos!G12),(NºAsuntos!C12+NºAsuntos!E12)/NºAsuntos!G12," - ")</f>
        <v>2.8795336787564767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0.63420621931260224</v>
      </c>
      <c r="C14" s="1156">
        <f>IF(ISNUMBER(NºAsuntos!I14/NºAsuntos!G14),NºAsuntos!I14/NºAsuntos!G14," - ")</f>
        <v>1.9470967741935483</v>
      </c>
      <c r="D14" s="1157">
        <f>IF(ISNUMBER('Resol  Asuntos'!D14/NºAsuntos!G14),'Resol  Asuntos'!D14/NºAsuntos!G14," - ")</f>
        <v>0.24</v>
      </c>
      <c r="E14" s="1158">
        <f>IF(ISNUMBER((NºAsuntos!C14+NºAsuntos!E14)/NºAsuntos!G14),(NºAsuntos!C14+NºAsuntos!E14)/NºAsuntos!G14," - ")</f>
        <v>2.8761290322580644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1.0161290322580645</v>
      </c>
      <c r="C17" s="498">
        <f>IF(ISNUMBER(NºAsuntos!I17/NºAsuntos!G17),NºAsuntos!I17/NºAsuntos!G17," - ")</f>
        <v>0.39249639249639251</v>
      </c>
      <c r="D17" s="499">
        <f>IF(ISNUMBER('Resol  Asuntos'!D17/NºAsuntos!G17),'Resol  Asuntos'!D17/NºAsuntos!G17," - ")</f>
        <v>0.14141414141414141</v>
      </c>
      <c r="E17" s="500">
        <f>IF(ISNUMBER((NºAsuntos!C17+NºAsuntos!E17)/NºAsuntos!G17),(NºAsuntos!C17+NºAsuntos!E17)/NºAsuntos!G17," - ")</f>
        <v>1.3896103896103895</v>
      </c>
      <c r="G17" s="523"/>
    </row>
    <row r="18" spans="1:7">
      <c r="A18" s="450" t="str">
        <f>Datos!A18</f>
        <v>Jdos. Violencia contra la mujer</v>
      </c>
      <c r="B18" s="497">
        <f>IF(ISNUMBER(NºAsuntos!G18/NºAsuntos!E18),NºAsuntos!G18/NºAsuntos!E18," - ")</f>
        <v>0.97122302158273377</v>
      </c>
      <c r="C18" s="498">
        <f>IF(ISNUMBER(NºAsuntos!I18/NºAsuntos!G18),NºAsuntos!I18/NºAsuntos!G18," - ")</f>
        <v>7.407407407407407E-2</v>
      </c>
      <c r="D18" s="499">
        <f>IF(ISNUMBER('Resol  Asuntos'!D18/NºAsuntos!G18),'Resol  Asuntos'!D18/NºAsuntos!G18," - ")</f>
        <v>0.14074074074074075</v>
      </c>
      <c r="E18" s="500">
        <f>IF(ISNUMBER((NºAsuntos!C18+NºAsuntos!E18)/NºAsuntos!G18),(NºAsuntos!C18+NºAsuntos!E18)/NºAsuntos!G18," - ")</f>
        <v>1.0740740740740742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1.0119760479041917</v>
      </c>
      <c r="C23" s="1156">
        <f>IF(ISNUMBER(NºAsuntos!I23/NºAsuntos!G23),NºAsuntos!I23/NºAsuntos!G23," - ")</f>
        <v>0.36423405654174884</v>
      </c>
      <c r="D23" s="1159">
        <f>IF(ISNUMBER('Resol  Asuntos'!D23/NºAsuntos!G23),'Resol  Asuntos'!D23/NºAsuntos!G23," - ")</f>
        <v>0.14135437212360288</v>
      </c>
      <c r="E23" s="1158">
        <f>IF(ISNUMBER((NºAsuntos!C23+NºAsuntos!E23)/NºAsuntos!G23),(NºAsuntos!C23+NºAsuntos!E23)/NºAsuntos!G23," - ")</f>
        <v>1.3616042077580539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0.8425688073394495</v>
      </c>
      <c r="C31" s="1099">
        <f>IF(ISNUMBER(NºAsuntos!I31/NºAsuntos!G31),NºAsuntos!I31/NºAsuntos!G31," - ")</f>
        <v>0.89851916376306618</v>
      </c>
      <c r="D31" s="1100">
        <f>IF(ISNUMBER('Resol  Asuntos'!D31/NºAsuntos!G31),'Resol  Asuntos'!D31/NºAsuntos!G31," - ")</f>
        <v>0.17465156794425088</v>
      </c>
      <c r="E31" s="1101">
        <f>IF(ISNUMBER((NºAsuntos!C31+NºAsuntos!E31)/NºAsuntos!G31),(NºAsuntos!C31+NºAsuntos!E31)/NºAsuntos!G31," - ")</f>
        <v>1.872822299651568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fQf8/bNFr/gXxySNqTcpw07b5oq86AOE0JMV1a05FyfauR24Cb7rcBbCTE8zjnUlczttfEyz3CwkFu5Qa1RqA==" saltValue="ZYt1StjlQd0Z9jUW3VTT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QUINTANAR DE LA ORDEN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11</v>
      </c>
      <c r="AN10" s="267">
        <f>IF(ISNUMBER('Resol  Asuntos'!D10/NºAsuntos!G10),'Resol  Asuntos'!D10/NºAsuntos!G10," - ")</f>
        <v>0.66666666666666663</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184</v>
      </c>
      <c r="AJ12" s="243" t="str">
        <f>IF(ISNUMBER(Datos!BW12),Datos!BW12," - ")</f>
        <v xml:space="preserve"> - </v>
      </c>
      <c r="AK12" s="242" t="str">
        <f>IF(ISNUMBER(Datos!BX12),Datos!BX12," - ")</f>
        <v xml:space="preserve"> - </v>
      </c>
      <c r="AL12" s="266">
        <f>IF(ISNUMBER(NºAsuntos!G12/NºAsuntos!E12),NºAsuntos!G12/NºAsuntos!E12," - ")</f>
        <v>0.63434675431388665</v>
      </c>
      <c r="AM12" s="284">
        <f>IF(ISNUMBER(((NºAsuntos!I12/NºAsuntos!G12)*11)/factor_trimestre),((NºAsuntos!I12/NºAsuntos!G12)*11)/factor_trimestre," - ")</f>
        <v>21.458549222797927</v>
      </c>
      <c r="AN12" s="267">
        <f>IF(ISNUMBER('Resol  Asuntos'!D12/NºAsuntos!G12),'Resol  Asuntos'!D12/NºAsuntos!G12," - ")</f>
        <v>0.23834196891191708</v>
      </c>
      <c r="AO12" s="268">
        <f>IF(ISNUMBER((NºAsuntos!C12+NºAsuntos!E12)/NºAsuntos!G12),(NºAsuntos!C12+NºAsuntos!E12)/NºAsuntos!G12," - ")</f>
        <v>2.8795336787564767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186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81</v>
      </c>
      <c r="Y14" s="1165">
        <f t="shared" si="6"/>
        <v>84</v>
      </c>
      <c r="Z14" s="1165">
        <f t="shared" si="6"/>
        <v>0</v>
      </c>
      <c r="AA14" s="1165">
        <f t="shared" si="6"/>
        <v>3</v>
      </c>
      <c r="AB14" s="1165">
        <f t="shared" si="6"/>
        <v>1373</v>
      </c>
      <c r="AC14" s="1165">
        <f t="shared" si="6"/>
        <v>3</v>
      </c>
      <c r="AD14" s="1165">
        <f t="shared" si="6"/>
        <v>0</v>
      </c>
      <c r="AE14" s="1169">
        <f t="shared" si="6"/>
        <v>0</v>
      </c>
      <c r="AF14" s="1162">
        <f t="shared" si="6"/>
        <v>0</v>
      </c>
      <c r="AG14" s="1170">
        <f t="shared" si="6"/>
        <v>0</v>
      </c>
      <c r="AH14" s="1167">
        <f t="shared" si="6"/>
        <v>0</v>
      </c>
      <c r="AI14" s="1162">
        <f t="shared" si="6"/>
        <v>186</v>
      </c>
      <c r="AJ14" s="1164">
        <f t="shared" si="6"/>
        <v>0</v>
      </c>
      <c r="AK14" s="1167">
        <f>SUBTOTAL(9,AK9:AK13)</f>
        <v>0</v>
      </c>
      <c r="AL14" s="1171">
        <f>IF(ISNUMBER(NºAsuntos!G14/NºAsuntos!E14),NºAsuntos!G14/NºAsuntos!E14," - ")</f>
        <v>0.63420621931260224</v>
      </c>
      <c r="AM14" s="1171">
        <f>IF(ISNUMBER(((NºAsuntos!I14/NºAsuntos!G14)*11)/factor_trimestre),((NºAsuntos!I14/NºAsuntos!G14)*11)/factor_trimestre," - ")</f>
        <v>21.418064516129032</v>
      </c>
      <c r="AN14" s="1172">
        <f>IF(ISNUMBER('Resol  Asuntos'!D14/NºAsuntos!G14),'Resol  Asuntos'!D14/NºAsuntos!G14," - ")</f>
        <v>0.24</v>
      </c>
      <c r="AO14" s="1173">
        <f>IF(ISNUMBER((NºAsuntos!C14+NºAsuntos!E14)/NºAsuntos!G14),(NºAsuntos!C14+NºAsuntos!E14)/NºAsuntos!G14," - ")</f>
        <v>2.8761290322580644</v>
      </c>
      <c r="AP14" s="1174" t="str">
        <f t="shared" si="2"/>
        <v xml:space="preserve"> - </v>
      </c>
      <c r="AQ14" s="1174">
        <f>IF(ISNUMBER((H14-W14+K14)/(F14)),(H14-W14+K14)/(F14)," - ")</f>
        <v>-3</v>
      </c>
      <c r="AR14" s="1175">
        <f>IF(ISNUMBER((Datos!P14-Datos!Q14)/(Datos!R14-Datos!P14+Datos!Q14)),(Datos!P14-Datos!Q14)/(Datos!R14-Datos!P14+Datos!Q14)," - ")</f>
        <v>8.280757097791798E-2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566</v>
      </c>
      <c r="G17" s="373">
        <f>IF(ISNUMBER(IF(D_I="SI",Datos!I17,Datos!I17+Datos!AC17)),IF(D_I="SI",Datos!I17,Datos!I17+Datos!AC17)," - ")</f>
        <v>562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1386</v>
      </c>
      <c r="X17" s="240">
        <f>IF(ISNUMBER(Datos!Q17),Datos!Q17," - ")</f>
        <v>23</v>
      </c>
      <c r="Y17" s="374">
        <f t="shared" ref="Y17:Y22" si="9">SUM(W17:X17)</f>
        <v>1409</v>
      </c>
      <c r="Z17" s="375" t="str">
        <f>IF(ISNUMBER(Datos!CC17),Datos!CC17," - ")</f>
        <v xml:space="preserve"> - </v>
      </c>
      <c r="AA17" s="372">
        <f>IF(ISNUMBER(IF(D_I="SI",Datos!L17,Datos!L17+Datos!AF17)),IF(D_I="SI",Datos!L17,Datos!L17+Datos!AF17)," - ")</f>
        <v>544</v>
      </c>
      <c r="AB17" s="374">
        <f>IF(ISNUMBER(Datos!R17),Datos!R17," - ")</f>
        <v>80</v>
      </c>
      <c r="AC17" s="374">
        <f t="shared" si="8"/>
        <v>624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196</v>
      </c>
      <c r="AJ17" s="245" t="str">
        <f>IF(ISNUMBER(Datos!BW17),Datos!BW17," - ")</f>
        <v xml:space="preserve"> - </v>
      </c>
      <c r="AK17" s="246" t="str">
        <f>IF(ISNUMBER(Datos!BX17),Datos!BX17," - ")</f>
        <v xml:space="preserve"> - </v>
      </c>
      <c r="AL17" s="266">
        <f>IF(ISNUMBER(NºAsuntos!G17/NºAsuntos!E17),NºAsuntos!G17/NºAsuntos!E17," - ")</f>
        <v>1.0161290322580645</v>
      </c>
      <c r="AM17" s="284">
        <f>IF(ISNUMBER(((NºAsuntos!I17/NºAsuntos!G17)*11)/factor_trimestre),((NºAsuntos!I17/NºAsuntos!G17)*11)/factor_trimestre," - ")</f>
        <v>4.3174603174603172</v>
      </c>
      <c r="AN17" s="267">
        <f>IF(ISNUMBER('Resol  Asuntos'!D17/NºAsuntos!G17),'Resol  Asuntos'!D17/NºAsuntos!G17," - ")</f>
        <v>0.14141414141414141</v>
      </c>
      <c r="AO17" s="268">
        <f>IF(ISNUMBER((NºAsuntos!C17+NºAsuntos!E17)/NºAsuntos!G17),(NºAsuntos!C17+NºAsuntos!E17)/NºAsuntos!G17," - ")</f>
        <v>1.3896103896103895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135</v>
      </c>
      <c r="X18" s="240">
        <f>IF(ISNUMBER(Datos!Q18),Datos!Q18," - ")</f>
        <v>0</v>
      </c>
      <c r="Y18" s="374">
        <f t="shared" si="9"/>
        <v>135</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0.97122302158273377</v>
      </c>
      <c r="AM18" s="284">
        <f>IF(ISNUMBER(((NºAsuntos!I18/NºAsuntos!G18)*11)/factor_trimestre),((NºAsuntos!I18/NºAsuntos!G18)*11)/factor_trimestre," - ")</f>
        <v>0.81481481481481477</v>
      </c>
      <c r="AN18" s="267">
        <f>IF(ISNUMBER('Resol  Asuntos'!D18/NºAsuntos!G18),'Resol  Asuntos'!D18/NºAsuntos!G18," - ")</f>
        <v>0.14074074074074075</v>
      </c>
      <c r="AO18" s="268">
        <f>IF(ISNUMBER((NºAsuntos!C18+NºAsuntos!E18)/NºAsuntos!G18),(NºAsuntos!C18+NºAsuntos!E18)/NºAsuntos!G18," - ")</f>
        <v>1.0740740740740742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566</v>
      </c>
      <c r="G23" s="1163">
        <f>SUBTOTAL(9,G16:G22)</f>
        <v>568</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1521</v>
      </c>
      <c r="X23" s="1164">
        <f t="shared" si="14"/>
        <v>23</v>
      </c>
      <c r="Y23" s="1165">
        <f t="shared" si="14"/>
        <v>1544</v>
      </c>
      <c r="Z23" s="1165">
        <f t="shared" si="14"/>
        <v>0</v>
      </c>
      <c r="AA23" s="1165">
        <f t="shared" si="14"/>
        <v>554</v>
      </c>
      <c r="AB23" s="1165">
        <f t="shared" si="14"/>
        <v>80</v>
      </c>
      <c r="AC23" s="1165">
        <f t="shared" si="14"/>
        <v>634</v>
      </c>
      <c r="AD23" s="1165">
        <f t="shared" si="14"/>
        <v>0</v>
      </c>
      <c r="AE23" s="1169">
        <f t="shared" si="14"/>
        <v>0</v>
      </c>
      <c r="AF23" s="1162">
        <f t="shared" si="14"/>
        <v>0</v>
      </c>
      <c r="AG23" s="1170">
        <f t="shared" si="14"/>
        <v>0</v>
      </c>
      <c r="AH23" s="1167">
        <f t="shared" si="14"/>
        <v>0</v>
      </c>
      <c r="AI23" s="1162">
        <f t="shared" si="14"/>
        <v>215</v>
      </c>
      <c r="AJ23" s="1164">
        <f t="shared" si="14"/>
        <v>0</v>
      </c>
      <c r="AK23" s="1167">
        <f t="shared" si="14"/>
        <v>0</v>
      </c>
      <c r="AL23" s="1171">
        <f>IF(ISNUMBER(NºAsuntos!G23/NºAsuntos!E23),NºAsuntos!G23/NºAsuntos!E23," - ")</f>
        <v>1.0119760479041917</v>
      </c>
      <c r="AM23" s="1171">
        <f>IF(ISNUMBER(((NºAsuntos!I23/NºAsuntos!G23)*11)/factor_trimestre),((NºAsuntos!I23/NºAsuntos!G23)*11)/factor_trimestre," - ")</f>
        <v>4.0065746219592375</v>
      </c>
      <c r="AN23" s="1172">
        <f>IF(ISNUMBER('Resol  Asuntos'!D23/NºAsuntos!G23),'Resol  Asuntos'!D23/NºAsuntos!G23," - ")</f>
        <v>0.14135437212360288</v>
      </c>
      <c r="AO23" s="1173">
        <f>IF(ISNUMBER((NºAsuntos!C23+NºAsuntos!E23)/NºAsuntos!G23),(NºAsuntos!C23+NºAsuntos!E23)/NºAsuntos!G23," - ")</f>
        <v>1.3616042077580539</v>
      </c>
      <c r="AP23" s="1174" t="str">
        <f t="shared" si="2"/>
        <v xml:space="preserve"> - </v>
      </c>
      <c r="AQ23" s="1174">
        <f>IF(ISNUMBER((H23-W23+K23)/(F23)),(H23-W23+K23)/(F23)," - ")</f>
        <v>-2.6872791519434629</v>
      </c>
      <c r="AR23" s="1175">
        <f>IF(ISNUMBER((Datos!P23-Datos!Q23)/(Datos!R23-Datos!P23+Datos!Q23)),(Datos!P23-Datos!Q23)/(Datos!R23-Datos!P23+Datos!Q23)," - ")</f>
        <v>0.3559322033898305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567</v>
      </c>
      <c r="G31" s="1118">
        <f t="shared" si="20"/>
        <v>569</v>
      </c>
      <c r="H31" s="1117">
        <f t="shared" si="20"/>
        <v>0</v>
      </c>
      <c r="I31" s="1119">
        <f t="shared" si="20"/>
        <v>0</v>
      </c>
      <c r="J31" s="1119">
        <f t="shared" si="20"/>
        <v>0</v>
      </c>
      <c r="K31" s="1180">
        <f t="shared" si="20"/>
        <v>0</v>
      </c>
      <c r="L31" s="1119">
        <f t="shared" si="20"/>
        <v>230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1524</v>
      </c>
      <c r="X31" s="1118">
        <f t="shared" si="21"/>
        <v>104</v>
      </c>
      <c r="Y31" s="1125">
        <f t="shared" si="21"/>
        <v>1628</v>
      </c>
      <c r="Z31" s="1125">
        <f t="shared" si="21"/>
        <v>0</v>
      </c>
      <c r="AA31" s="1125">
        <f t="shared" si="21"/>
        <v>557</v>
      </c>
      <c r="AB31" s="1125">
        <f t="shared" si="21"/>
        <v>1453</v>
      </c>
      <c r="AC31" s="1125">
        <f t="shared" si="21"/>
        <v>637</v>
      </c>
      <c r="AD31" s="1125">
        <f t="shared" si="21"/>
        <v>0</v>
      </c>
      <c r="AE31" s="1127">
        <f t="shared" si="21"/>
        <v>0</v>
      </c>
      <c r="AF31" s="1128">
        <f t="shared" si="21"/>
        <v>0</v>
      </c>
      <c r="AG31" s="1129">
        <f t="shared" si="21"/>
        <v>0</v>
      </c>
      <c r="AH31" s="1127">
        <f t="shared" si="21"/>
        <v>0</v>
      </c>
      <c r="AI31" s="1117">
        <f t="shared" si="21"/>
        <v>401</v>
      </c>
      <c r="AJ31" s="1117">
        <f t="shared" si="21"/>
        <v>0</v>
      </c>
      <c r="AK31" s="1127">
        <f t="shared" si="21"/>
        <v>0</v>
      </c>
      <c r="AL31" s="1183">
        <f>IF(ISNUMBER(NºAsuntos!G31/NºAsuntos!E31),NºAsuntos!G31/NºAsuntos!E31," - ")</f>
        <v>0.8425688073394495</v>
      </c>
      <c r="AM31" s="1184">
        <f>IF(ISNUMBER(((NºAsuntos!I31/NºAsuntos!G31)*11)/factor_trimestre),((NºAsuntos!I31/NºAsuntos!G31)*11)/factor_trimestre," - ")</f>
        <v>9.8837108013937272</v>
      </c>
      <c r="AN31" s="1184">
        <f>IF(ISNUMBER('Resol  Asuntos'!D31/NºAsuntos!G31),'Resol  Asuntos'!D31/NºAsuntos!G31," - ")</f>
        <v>0.17465156794425088</v>
      </c>
      <c r="AO31" s="1185">
        <f>IF(ISNUMBER((NºAsuntos!C31+NºAsuntos!E31)/NºAsuntos!G31),(NºAsuntos!C31+NºAsuntos!E31)/NºAsuntos!G31," - ")</f>
        <v>1.872822299651568</v>
      </c>
      <c r="AP31" s="1186" t="str">
        <f t="shared" si="2"/>
        <v xml:space="preserve"> - </v>
      </c>
      <c r="AQ31" s="1187">
        <f>IF(OR(ISNUMBER(FIND("01",Criterios!A8,1)),ISNUMBER(FIND("02",Criterios!A8,1)),ISNUMBER(FIND("03",Criterios!A8,1)),ISNUMBER(FIND("04",Criterios!A8,1))),(I31-W31+K31)/(F31-K31),(H31-W31+K31)/(F31-K31))</f>
        <v>-2.6878306878306879</v>
      </c>
      <c r="AR31" s="1188">
        <f>IF(ISNUMBER((Datos!P31-Datos!Q31)/(Datos!R31-Datos!P31+Datos!Q31)),(Datos!P31-Datos!Q31)/(Datos!R31-Datos!P31+Datos!Q31)," - ")</f>
        <v>9.4951017332328566E-2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292.02328674268426</v>
      </c>
      <c r="G33" s="277">
        <f>IF(ISNUMBER(STDEV(G8:G30)),STDEV(G8:G30),"-")</f>
        <v>274.92414538247766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698.27092572602919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102.16058787167248</v>
      </c>
      <c r="AJ33" s="276">
        <f t="shared" si="25"/>
        <v>0</v>
      </c>
      <c r="AK33" s="278">
        <f t="shared" si="25"/>
        <v>0</v>
      </c>
      <c r="AL33" s="273">
        <f t="shared" si="25"/>
        <v>0.20742397581371469</v>
      </c>
      <c r="AM33" s="274">
        <f t="shared" si="25"/>
        <v>9.096538639848271</v>
      </c>
      <c r="AN33" s="274">
        <f t="shared" si="25"/>
        <v>0.20425323374196591</v>
      </c>
      <c r="AO33" s="275">
        <f t="shared" si="25"/>
        <v>0.79364703744765053</v>
      </c>
      <c r="AP33" s="317" t="str">
        <f t="shared" si="25"/>
        <v>-</v>
      </c>
      <c r="AQ33" s="318">
        <f t="shared" si="25"/>
        <v>0.22112703227918534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oNIpiRGg6oyCAJ/GAxWgOMtsmz6TvjS4Vxz9a3JKuSincO+gmWuE3RjZYQe7MEOeiKxRsXwXki/hHcDWSAKzQ==" saltValue="PvGUU0CCFCt9ufB/k/Lv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QUINTANAR DE LA ORDEN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-0.54545454545454541</v>
      </c>
      <c r="F10" s="393">
        <f>IF(ISNUMBER((Datos!K10-Datos!U10)/Datos!U10),(Datos!K10-Datos!U10)/Datos!U10," - ")</f>
        <v>-0.7857142857142857</v>
      </c>
      <c r="G10" s="394">
        <f>IF(ISNUMBER((Datos!L10-Datos!V10)/Datos!V10),(Datos!L10-Datos!V10)/Datos!V10," - ")</f>
        <v>2</v>
      </c>
      <c r="H10" s="244">
        <f>IF(ISNUMBER((Datos!M10-Datos!W10)/Datos!W10),(Datos!M10-Datos!W10)/Datos!W10," - ")</f>
        <v>-0.83333333333333337</v>
      </c>
      <c r="I10" s="395">
        <f>IF(ISNUMBER((Tasas!C10-Datos!BE10)/Datos!BE10),(Tasas!C10-Datos!BE10)/Datos!BE10," - ")</f>
        <v>13.000000000000002</v>
      </c>
      <c r="J10" s="394">
        <f>IF(ISNUMBER((Tasas!D10-Datos!BF10)/Datos!BF10),(Tasas!D10-Datos!BF10)/Datos!BF10," - ")</f>
        <v>-0.22222222222222221</v>
      </c>
      <c r="K10" s="396">
        <f>IF(ISNUMBER((Tasas!E10-Datos!BG10)/Datos!BG10),(Tasas!E10-Datos!BG10)/Datos!BG10," - ")</f>
        <v>0.8666666666666667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-0.23012552301255229</v>
      </c>
      <c r="I12" s="395">
        <f>IF(ISNUMBER((Tasas!C12-Datos!BE12)/Datos!BE12),(Tasas!C12-Datos!BE12)/Datos!BE12," - ")</f>
        <v>0.8150372377136148</v>
      </c>
      <c r="J12" s="394">
        <f>IF(ISNUMBER((Tasas!D12-Datos!BF12)/Datos!BF12),(Tasas!D12-Datos!BF12)/Datos!BF12," - ")</f>
        <v>-0.20325684678016287</v>
      </c>
      <c r="K12" s="396">
        <f>IF(ISNUMBER((Tasas!E12-Datos!BG12)/Datos!BG12),(Tasas!E12-Datos!BG12)/Datos!BG12," - ")</f>
        <v>0.35917474700759566</v>
      </c>
      <c r="M12" t="e">
        <f>IF(Monitorios="SI",Datos!CE12,0)</f>
        <v>#REF!</v>
      </c>
      <c r="N12" t="e">
        <f>IF(Monitorios="SI",Datos!CF12,0)</f>
        <v>#REF!</v>
      </c>
      <c r="O12" t="e">
        <f>IF(Monitorios="SI",Datos!CG12,0)</f>
        <v>#REF!</v>
      </c>
      <c r="P12" t="e">
        <f>IF(Monitorios="SI",Datos!CH12,0)</f>
        <v>#REF!</v>
      </c>
      <c r="Q12">
        <f>IF(J_V="SI",0,Datos!AG12)</f>
        <v>23</v>
      </c>
      <c r="R12">
        <f>IF(J_V="SI",0,Datos!AH12)</f>
        <v>77</v>
      </c>
      <c r="S12">
        <f>IF(J_V="SI",0,Datos!AI12)</f>
        <v>90</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-0.25896414342629481</v>
      </c>
      <c r="I14" s="402">
        <f>IF(ISNUMBER((Tasas!C14-Datos!BE14)/Datos!BE14),(Tasas!C14-Datos!BE14)/Datos!BE14," - ")</f>
        <v>0.8368837492391964</v>
      </c>
      <c r="J14" s="400">
        <f>IF(ISNUMBER((Tasas!D14-Datos!BF14)/Datos!BF14),(Tasas!D14-Datos!BF14)/Datos!BF14," - ")</f>
        <v>-0.21917808219178084</v>
      </c>
      <c r="K14" s="403">
        <f>IF(ISNUMBER((Tasas!E14-Datos!BG14)/Datos!BG14),(Tasas!E14-Datos!BG14)/Datos!BG14," - ")</f>
        <v>0.36752881914172242</v>
      </c>
      <c r="M14" t="e">
        <f>IF(Monitorios="SI",Datos!CE14,0)</f>
        <v>#REF!</v>
      </c>
      <c r="N14" t="e">
        <f>IF(Monitorios="SI",Datos!CF14,0)</f>
        <v>#REF!</v>
      </c>
      <c r="O14" t="e">
        <f>IF(Monitorios="SI",Datos!CG14,0)</f>
        <v>#REF!</v>
      </c>
      <c r="P14" t="e">
        <f>IF(Monitorios="SI",Datos!CH14,0)</f>
        <v>#REF!</v>
      </c>
      <c r="Q14">
        <f>IF(J_V="SI",0,Datos!AG14)</f>
        <v>23</v>
      </c>
      <c r="R14">
        <f>IF(J_V="SI",0,Datos!AH14)</f>
        <v>77</v>
      </c>
      <c r="S14">
        <f>IF(J_V="SI",0,Datos!AI14)</f>
        <v>90</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-9.5008051529790666E-2</v>
      </c>
      <c r="E17" s="393">
        <f>IF(ISNUMBER(
   IF(D_I="SI",(Datos!J17-Datos!T17)/Datos!T17,(Datos!J17+Datos!AD17-(Datos!T17+Datos!AL17))/(Datos!T17+Datos!AL17))
     ),IF(D_I="SI",(Datos!J17-Datos!T17)/Datos!T17,(Datos!J17+Datos!AD17-(Datos!T17+Datos!AL17))/(Datos!T17+Datos!AL17))," - ")</f>
        <v>0.10804224207961008</v>
      </c>
      <c r="F17" s="393">
        <f>IF(ISNUMBER(
   IF(D_I="SI",(Datos!K17-Datos!U17)/Datos!U17,(Datos!K17+Datos!AE17-(Datos!U17+Datos!AM17))/(Datos!U17+Datos!AM17))
     ),IF(D_I="SI",(Datos!K17-Datos!U17)/Datos!U17,(Datos!K17+Datos!AE17-(Datos!U17+Datos!AM17))/(Datos!U17+Datos!AM17))," - ")</f>
        <v>0.19689119170984457</v>
      </c>
      <c r="G17" s="394">
        <f>IF(ISNUMBER(
   IF(D_I="SI",(Datos!L17-Datos!V17)/Datos!V17,(Datos!L17+Datos!AF17-(Datos!V17+Datos!AN17))/(Datos!V17+Datos!AN17))
     ),IF(D_I="SI",(Datos!L17-Datos!V17)/Datos!V17,(Datos!L17+Datos!AF17-(Datos!V17+Datos!AN17))/(Datos!V17+Datos!AN17))," - ")</f>
        <v>-3.2028469750889681E-2</v>
      </c>
      <c r="H17" s="244">
        <f>IF(ISNUMBER((Datos!M17-Datos!W17)/Datos!W17),(Datos!M17-Datos!W17)/Datos!W17," - ")</f>
        <v>0.21739130434782608</v>
      </c>
      <c r="I17" s="395">
        <f>IF(ISNUMBER((Tasas!C17-Datos!BE17)/Datos!BE17),(Tasas!C17-Datos!BE17)/Datos!BE17," - ")</f>
        <v>-0.19126188165334068</v>
      </c>
      <c r="J17" s="394">
        <f>IF(ISNUMBER((Tasas!D17-Datos!BF17)/Datos!BF17),(Tasas!D17-Datos!BF17)/Datos!BF17," - ")</f>
        <v>1.7127799736495256E-2</v>
      </c>
      <c r="K17" s="396">
        <f>IF(ISNUMBER((Tasas!E17-Datos!BG17)/Datos!BG17),(Tasas!E17-Datos!BG17)/Datos!BG17," - ")</f>
        <v>-0.13111834170149514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0.21929824561403508</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5.5555555555555552E-2</v>
      </c>
      <c r="I18" s="395">
        <f>IF(ISNUMBER((Tasas!C18-Datos!BE18)/Datos!BE18),(Tasas!C18-Datos!BE18)/Datos!BE18," - ")</f>
        <v>0.48148148148148134</v>
      </c>
      <c r="J18" s="394">
        <f>IF(ISNUMBER((Tasas!D18-Datos!BF18)/Datos!BF18),(Tasas!D18-Datos!BF18)/Datos!BF18," - ")</f>
        <v>-6.1728395061728301E-2</v>
      </c>
      <c r="K18" s="396">
        <f>IF(ISNUMBER((Tasas!E18-Datos!BG18)/Datos!BG18),(Tasas!E18-Datos!BG18)/Datos!BG18," - ")</f>
        <v>2.2927689594356319E-2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-0.10268562401263823</v>
      </c>
      <c r="E23" s="399">
        <f>IF(ISNUMBER(
   IF(D_I="SI",(Datos!J23-Datos!T23)/Datos!T23,(Datos!J23+Datos!AD23-(Datos!T23+Datos!AL23))/(Datos!T23+Datos!AL23))
     ),IF(D_I="SI",(Datos!J23-Datos!T23)/Datos!T23,(Datos!J23+Datos!AD23-(Datos!T23+Datos!AL23))/(Datos!T23+Datos!AL23))," - ")</f>
        <v>0.11747211895910781</v>
      </c>
      <c r="F23" s="399">
        <f>IF(ISNUMBER(
   IF(D_I="SI",(Datos!K23-Datos!U23)/Datos!U23,(Datos!K23+Datos!AE23-(Datos!U23+Datos!AM23))/(Datos!U23+Datos!AM23))
     ),IF(D_I="SI",(Datos!K23-Datos!U23)/Datos!U23,(Datos!K23+Datos!AE23-(Datos!U23+Datos!AM23))/(Datos!U23+Datos!AM23))," - ")</f>
        <v>0.19014084507042253</v>
      </c>
      <c r="G23" s="400">
        <f>IF(ISNUMBER(
   IF(D_I="SI",(Datos!L23-Datos!V23)/Datos!V23,(Datos!L23+Datos!AF23-(Datos!V23+Datos!AN23))/(Datos!V23+Datos!AN23))
     ),IF(D_I="SI",(Datos!L23-Datos!V23)/Datos!V23,(Datos!L23+Datos!AF23-(Datos!V23+Datos!AN23))/(Datos!V23+Datos!AN23))," - ")</f>
        <v>-2.464788732394366E-2</v>
      </c>
      <c r="H23" s="401">
        <f>IF(ISNUMBER((Datos!M23-Datos!W23)/Datos!W23),(Datos!M23-Datos!W23)/Datos!W23," - ")</f>
        <v>0.2011173184357542</v>
      </c>
      <c r="I23" s="402">
        <f>IF(ISNUMBER((Tasas!C23-Datos!BE23)/Datos!BE23),(Tasas!C23-Datos!BE23)/Datos!BE23," - ")</f>
        <v>-0.18047337278106507</v>
      </c>
      <c r="J23" s="400">
        <f>IF(ISNUMBER((Tasas!D23-Datos!BF23)/Datos!BF23),(Tasas!D23-Datos!BF23)/Datos!BF23," - ")</f>
        <v>9.2228356087401767E-3</v>
      </c>
      <c r="K23" s="403">
        <f>IF(ISNUMBER((Tasas!E23-Datos!BG23)/Datos!BG23),(Tasas!E23-Datos!BG23)/Datos!BG23," - ")</f>
        <v>-0.12025774645359302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-6.3091482649842269E-3</v>
      </c>
      <c r="E31" s="409">
        <f>IF(ISNUMBER(
   IF(J_V="SI",(Datos!J31-Datos!T31)/Datos!T31,(Datos!J31+Datos!Z31-(Datos!T31+Datos!AH31))/(Datos!T31+Datos!AH31))
     ),IF(J_V="SI",(Datos!J31-Datos!T31)/Datos!T31,(Datos!J31+Datos!Z31-(Datos!T31+Datos!AH31))/(Datos!T31+Datos!AH31))," - ")</f>
        <v>0.13969050606440819</v>
      </c>
      <c r="F31" s="409">
        <f>IF(ISNUMBER(
   IF(J_V="SI",(Datos!K31-Datos!U31)/Datos!U31,(Datos!K31+Datos!AA31-(Datos!U31+Datos!AI31))/(Datos!U31+Datos!AI31))
     ),IF(J_V="SI",(Datos!K31-Datos!U31)/Datos!U31,(Datos!K31+Datos!AA31-(Datos!U31+Datos!AI31))/(Datos!U31+Datos!AI31))," - ")</f>
        <v>3.052064631956912E-2</v>
      </c>
      <c r="G31" s="410">
        <f>IF(ISNUMBER(
   IF(J_V="SI",(Datos!L31-Datos!V31)/Datos!V31,(Datos!L31+Datos!AB31-(Datos!V31+Datos!AJ31))/(Datos!V31+Datos!AJ31))
     ),IF(J_V="SI",(Datos!L31-Datos!V31)/Datos!V31,(Datos!L31+Datos!AB31-(Datos!V31+Datos!AJ31))/(Datos!V31+Datos!AJ31))," - ")</f>
        <v>0.30984126984126986</v>
      </c>
      <c r="H31" s="411">
        <f>IF(ISNUMBER((Datos!M31-Datos!W31)/Datos!W31),(Datos!M31-Datos!W31)/Datos!W31," - ")</f>
        <v>-6.7441860465116285E-2</v>
      </c>
      <c r="I31" s="408">
        <f>IF(ISNUMBER((Tasas!C31-Datos!BE31)/Datos!BE31),(Tasas!C31-Datos!BE31)/Datos!BE31," - ")</f>
        <v>0.27104806150102306</v>
      </c>
      <c r="J31" s="409">
        <f>IF(ISNUMBER((Tasas!D31-Datos!BF31)/Datos!BF31),(Tasas!D31-Datos!BF31)/Datos!BF31," - ")</f>
        <v>-0.17383504590277929</v>
      </c>
      <c r="K31" s="410">
        <f>IF(ISNUMBER((Tasas!E31-Datos!BG31)/Datos!BG31),(Tasas!E31-Datos!BG31)/Datos!BG31," - ")</f>
        <v>4.9458773547206555E-2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0.32047705205571564</v>
      </c>
      <c r="E33" s="303">
        <f t="shared" si="1"/>
        <v>0.35050107300420841</v>
      </c>
      <c r="F33" s="303">
        <f t="shared" si="1"/>
        <v>0.479293274091181</v>
      </c>
      <c r="G33" s="304">
        <f t="shared" si="1"/>
        <v>0.95621919238002884</v>
      </c>
      <c r="H33" s="310">
        <f t="shared" si="1"/>
        <v>0.39630949726616616</v>
      </c>
      <c r="I33" s="302">
        <f t="shared" si="1"/>
        <v>5.1835862704332438</v>
      </c>
      <c r="J33" s="303">
        <f t="shared" si="1"/>
        <v>0.11476003702813611</v>
      </c>
      <c r="K33" s="304">
        <f t="shared" si="1"/>
        <v>0.38389392580688692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WXEX2RNZUAP5Um1WPD9ZiPSIYT3CPBhc9rob1TD18Ka1GnP1UEw1nJ/FN3LLyQtMHGXhtH1NjgWDMFnTz7m9A==" saltValue="150TEq2N56k/jGmpz8tmy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